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4" i="2" l="1"/>
  <c r="S564" i="2"/>
  <c r="Q564" i="2"/>
  <c r="M564" i="2"/>
  <c r="M565" i="2" s="1"/>
  <c r="L564" i="2"/>
  <c r="K564" i="2"/>
  <c r="K565" i="2" s="1"/>
  <c r="I564" i="2"/>
  <c r="H564" i="2"/>
  <c r="G564" i="2"/>
  <c r="E564" i="2"/>
  <c r="E565" i="2" s="1"/>
  <c r="C564" i="2"/>
  <c r="Q562" i="2"/>
  <c r="P562" i="2"/>
  <c r="O562" i="2"/>
  <c r="N562" i="2"/>
  <c r="M562" i="2"/>
  <c r="J562" i="2"/>
  <c r="J564" i="2" s="1"/>
  <c r="I562" i="2"/>
  <c r="D562" i="2"/>
  <c r="S561" i="2"/>
  <c r="R561" i="2"/>
  <c r="R564" i="2" s="1"/>
  <c r="P561" i="2"/>
  <c r="P564" i="2" s="1"/>
  <c r="O561" i="2"/>
  <c r="O564" i="2" s="1"/>
  <c r="N561" i="2"/>
  <c r="N564" i="2" s="1"/>
  <c r="M561" i="2"/>
  <c r="G561" i="2"/>
  <c r="F561" i="2"/>
  <c r="F564" i="2" s="1"/>
  <c r="E561" i="2"/>
  <c r="D561" i="2"/>
  <c r="D564" i="2" s="1"/>
  <c r="K559" i="2"/>
  <c r="C559" i="2"/>
  <c r="T557" i="2"/>
  <c r="S557" i="2"/>
  <c r="R557" i="2"/>
  <c r="Q557" i="2"/>
  <c r="P557" i="2"/>
  <c r="O557" i="2"/>
  <c r="N557" i="2"/>
  <c r="M557" i="2"/>
  <c r="I557" i="2"/>
  <c r="H557" i="2"/>
  <c r="G557" i="2"/>
  <c r="F557" i="2"/>
  <c r="E557" i="2"/>
  <c r="D557" i="2"/>
  <c r="T556" i="2"/>
  <c r="S556" i="2"/>
  <c r="R556" i="2"/>
  <c r="Q556" i="2"/>
  <c r="P556" i="2"/>
  <c r="O556" i="2"/>
  <c r="N556" i="2"/>
  <c r="M556" i="2"/>
  <c r="L556" i="2"/>
  <c r="I556" i="2"/>
  <c r="H556" i="2"/>
  <c r="G556" i="2"/>
  <c r="F556" i="2"/>
  <c r="E556" i="2"/>
  <c r="D556" i="2"/>
  <c r="T555" i="2"/>
  <c r="S555" i="2"/>
  <c r="R555" i="2"/>
  <c r="Q555" i="2"/>
  <c r="P555" i="2"/>
  <c r="O555" i="2"/>
  <c r="N555" i="2"/>
  <c r="M555" i="2"/>
  <c r="L555" i="2"/>
  <c r="J555" i="2"/>
  <c r="I555" i="2"/>
  <c r="I559" i="2" s="1"/>
  <c r="H555" i="2"/>
  <c r="G555" i="2"/>
  <c r="F555" i="2"/>
  <c r="E555" i="2"/>
  <c r="D555" i="2"/>
  <c r="S554" i="2"/>
  <c r="R554" i="2"/>
  <c r="Q554" i="2"/>
  <c r="P554" i="2"/>
  <c r="O554" i="2"/>
  <c r="N554" i="2"/>
  <c r="M554" i="2"/>
  <c r="L554" i="2"/>
  <c r="J554" i="2"/>
  <c r="I554" i="2"/>
  <c r="H554" i="2"/>
  <c r="G554" i="2"/>
  <c r="F554" i="2"/>
  <c r="T553" i="2"/>
  <c r="S553" i="2"/>
  <c r="R553" i="2"/>
  <c r="Q553" i="2"/>
  <c r="P553" i="2"/>
  <c r="O553" i="2"/>
  <c r="N553" i="2"/>
  <c r="M553" i="2"/>
  <c r="K553" i="2"/>
  <c r="J553" i="2"/>
  <c r="I553" i="2"/>
  <c r="H553" i="2"/>
  <c r="E553" i="2"/>
  <c r="D553" i="2"/>
  <c r="T552" i="2"/>
  <c r="S552" i="2"/>
  <c r="S559" i="2" s="1"/>
  <c r="R552" i="2"/>
  <c r="Q552" i="2"/>
  <c r="Q559" i="2" s="1"/>
  <c r="P552" i="2"/>
  <c r="O552" i="2"/>
  <c r="O559" i="2" s="1"/>
  <c r="N552" i="2"/>
  <c r="M552" i="2"/>
  <c r="M559" i="2" s="1"/>
  <c r="L552" i="2"/>
  <c r="J552" i="2"/>
  <c r="I552" i="2"/>
  <c r="G552" i="2"/>
  <c r="G559" i="2" s="1"/>
  <c r="F552" i="2"/>
  <c r="E552" i="2"/>
  <c r="E559" i="2" s="1"/>
  <c r="D552" i="2"/>
  <c r="T551" i="2"/>
  <c r="T559" i="2" s="1"/>
  <c r="S551" i="2"/>
  <c r="R551" i="2"/>
  <c r="R559" i="2" s="1"/>
  <c r="Q551" i="2"/>
  <c r="P551" i="2"/>
  <c r="P559" i="2" s="1"/>
  <c r="O551" i="2"/>
  <c r="N551" i="2"/>
  <c r="N559" i="2" s="1"/>
  <c r="M551" i="2"/>
  <c r="L551" i="2"/>
  <c r="L559" i="2" s="1"/>
  <c r="K551" i="2"/>
  <c r="J551" i="2"/>
  <c r="J559" i="2" s="1"/>
  <c r="I551" i="2"/>
  <c r="H551" i="2"/>
  <c r="H559" i="2" s="1"/>
  <c r="G551" i="2"/>
  <c r="F551" i="2"/>
  <c r="F559" i="2" s="1"/>
  <c r="E551" i="2"/>
  <c r="D551" i="2"/>
  <c r="D559" i="2" s="1"/>
  <c r="Q549" i="2"/>
  <c r="M549" i="2"/>
  <c r="K549" i="2"/>
  <c r="I549" i="2"/>
  <c r="E549" i="2"/>
  <c r="C549" i="2"/>
  <c r="T547" i="2"/>
  <c r="S547" i="2"/>
  <c r="R547" i="2"/>
  <c r="Q547" i="2"/>
  <c r="P547" i="2"/>
  <c r="O547" i="2"/>
  <c r="N547" i="2"/>
  <c r="M547" i="2"/>
  <c r="I547" i="2"/>
  <c r="H547" i="2"/>
  <c r="G547" i="2"/>
  <c r="F547" i="2"/>
  <c r="E547" i="2"/>
  <c r="D547" i="2"/>
  <c r="T546" i="2"/>
  <c r="S546" i="2"/>
  <c r="R546" i="2"/>
  <c r="Q546" i="2"/>
  <c r="P546" i="2"/>
  <c r="O546" i="2"/>
  <c r="O549" i="2" s="1"/>
  <c r="N546" i="2"/>
  <c r="M546" i="2"/>
  <c r="L546" i="2"/>
  <c r="I546" i="2"/>
  <c r="H546" i="2"/>
  <c r="G546" i="2"/>
  <c r="F546" i="2"/>
  <c r="E546" i="2"/>
  <c r="D546" i="2"/>
  <c r="S545" i="2"/>
  <c r="S549" i="2" s="1"/>
  <c r="Q545" i="2"/>
  <c r="P545" i="2"/>
  <c r="O545" i="2"/>
  <c r="N545" i="2"/>
  <c r="M545" i="2"/>
  <c r="L545" i="2"/>
  <c r="K545" i="2"/>
  <c r="J545" i="2"/>
  <c r="I545" i="2"/>
  <c r="H545" i="2"/>
  <c r="G545" i="2"/>
  <c r="E545" i="2"/>
  <c r="D545" i="2"/>
  <c r="T544" i="2"/>
  <c r="S544" i="2"/>
  <c r="R544" i="2"/>
  <c r="Q544" i="2"/>
  <c r="P544" i="2"/>
  <c r="O544" i="2"/>
  <c r="N544" i="2"/>
  <c r="M544" i="2"/>
  <c r="L544" i="2"/>
  <c r="J544" i="2"/>
  <c r="I544" i="2"/>
  <c r="H544" i="2"/>
  <c r="G544" i="2"/>
  <c r="G549" i="2" s="1"/>
  <c r="F544" i="2"/>
  <c r="F549" i="2" s="1"/>
  <c r="E544" i="2"/>
  <c r="D544" i="2"/>
  <c r="T543" i="2"/>
  <c r="T549" i="2" s="1"/>
  <c r="S543" i="2"/>
  <c r="R543" i="2"/>
  <c r="R549" i="2" s="1"/>
  <c r="Q543" i="2"/>
  <c r="P543" i="2"/>
  <c r="P549" i="2" s="1"/>
  <c r="O543" i="2"/>
  <c r="N543" i="2"/>
  <c r="N549" i="2" s="1"/>
  <c r="M543" i="2"/>
  <c r="L543" i="2"/>
  <c r="L549" i="2" s="1"/>
  <c r="K543" i="2"/>
  <c r="J543" i="2"/>
  <c r="J549" i="2" s="1"/>
  <c r="I543" i="2"/>
  <c r="H543" i="2"/>
  <c r="H549" i="2" s="1"/>
  <c r="G543" i="2"/>
  <c r="E543" i="2"/>
  <c r="D543" i="2"/>
  <c r="D549" i="2" s="1"/>
  <c r="T537" i="2"/>
  <c r="S537" i="2"/>
  <c r="R537" i="2"/>
  <c r="R538" i="2" s="1"/>
  <c r="Q537" i="2"/>
  <c r="P537" i="2"/>
  <c r="O537" i="2"/>
  <c r="N537" i="2"/>
  <c r="M537" i="2"/>
  <c r="L537" i="2"/>
  <c r="K537" i="2"/>
  <c r="J537" i="2"/>
  <c r="J538" i="2" s="1"/>
  <c r="I537" i="2"/>
  <c r="G537" i="2"/>
  <c r="F537" i="2"/>
  <c r="E537" i="2"/>
  <c r="D537" i="2"/>
  <c r="C537" i="2"/>
  <c r="H534" i="2"/>
  <c r="H537" i="2" s="1"/>
  <c r="H538" i="2" s="1"/>
  <c r="Q532" i="2"/>
  <c r="M532" i="2"/>
  <c r="I532" i="2"/>
  <c r="E532" i="2"/>
  <c r="C532" i="2"/>
  <c r="T530" i="2"/>
  <c r="S530" i="2"/>
  <c r="R530" i="2"/>
  <c r="Q530" i="2"/>
  <c r="P530" i="2"/>
  <c r="O530" i="2"/>
  <c r="N530" i="2"/>
  <c r="M530" i="2"/>
  <c r="I530" i="2"/>
  <c r="H530" i="2"/>
  <c r="G530" i="2"/>
  <c r="F530" i="2"/>
  <c r="E530" i="2"/>
  <c r="D530" i="2"/>
  <c r="T529" i="2"/>
  <c r="S529" i="2"/>
  <c r="R529" i="2"/>
  <c r="Q529" i="2"/>
  <c r="P529" i="2"/>
  <c r="O529" i="2"/>
  <c r="N529" i="2"/>
  <c r="M529" i="2"/>
  <c r="L529" i="2"/>
  <c r="I529" i="2"/>
  <c r="H529" i="2"/>
  <c r="G529" i="2"/>
  <c r="F529" i="2"/>
  <c r="E529" i="2"/>
  <c r="D529" i="2"/>
  <c r="Q528" i="2"/>
  <c r="P528" i="2"/>
  <c r="O528" i="2"/>
  <c r="N528" i="2"/>
  <c r="M528" i="2"/>
  <c r="L528" i="2"/>
  <c r="J528" i="2"/>
  <c r="G528" i="2"/>
  <c r="F528" i="2"/>
  <c r="D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T526" i="2"/>
  <c r="S526" i="2"/>
  <c r="S532" i="2" s="1"/>
  <c r="R526" i="2"/>
  <c r="Q526" i="2"/>
  <c r="P526" i="2"/>
  <c r="O526" i="2"/>
  <c r="O532" i="2" s="1"/>
  <c r="N526" i="2"/>
  <c r="M526" i="2"/>
  <c r="L526" i="2"/>
  <c r="K526" i="2"/>
  <c r="J526" i="2"/>
  <c r="I526" i="2"/>
  <c r="H526" i="2"/>
  <c r="G526" i="2"/>
  <c r="P525" i="2"/>
  <c r="M525" i="2"/>
  <c r="L525" i="2"/>
  <c r="K525" i="2"/>
  <c r="K532" i="2" s="1"/>
  <c r="J525" i="2"/>
  <c r="I525" i="2"/>
  <c r="H525" i="2"/>
  <c r="G525" i="2"/>
  <c r="F525" i="2"/>
  <c r="E525" i="2"/>
  <c r="D525" i="2"/>
  <c r="T524" i="2"/>
  <c r="T532" i="2" s="1"/>
  <c r="S524" i="2"/>
  <c r="R524" i="2"/>
  <c r="R532" i="2" s="1"/>
  <c r="Q524" i="2"/>
  <c r="P524" i="2"/>
  <c r="P532" i="2" s="1"/>
  <c r="O524" i="2"/>
  <c r="N524" i="2"/>
  <c r="N532" i="2" s="1"/>
  <c r="M524" i="2"/>
  <c r="L524" i="2"/>
  <c r="L532" i="2" s="1"/>
  <c r="J524" i="2"/>
  <c r="J532" i="2" s="1"/>
  <c r="I524" i="2"/>
  <c r="H524" i="2"/>
  <c r="H532" i="2" s="1"/>
  <c r="G524" i="2"/>
  <c r="G532" i="2" s="1"/>
  <c r="F524" i="2"/>
  <c r="F532" i="2" s="1"/>
  <c r="E524" i="2"/>
  <c r="D524" i="2"/>
  <c r="D532" i="2" s="1"/>
  <c r="R522" i="2"/>
  <c r="N522" i="2"/>
  <c r="J522" i="2"/>
  <c r="F522" i="2"/>
  <c r="C522" i="2"/>
  <c r="T520" i="2"/>
  <c r="S520" i="2"/>
  <c r="R520" i="2"/>
  <c r="Q520" i="2"/>
  <c r="P520" i="2"/>
  <c r="O520" i="2"/>
  <c r="N520" i="2"/>
  <c r="M520" i="2"/>
  <c r="I520" i="2"/>
  <c r="H520" i="2"/>
  <c r="G520" i="2"/>
  <c r="F520" i="2"/>
  <c r="E520" i="2"/>
  <c r="D520" i="2"/>
  <c r="T519" i="2"/>
  <c r="S519" i="2"/>
  <c r="R519" i="2"/>
  <c r="Q519" i="2"/>
  <c r="P519" i="2"/>
  <c r="O519" i="2"/>
  <c r="N519" i="2"/>
  <c r="M519" i="2"/>
  <c r="L519" i="2"/>
  <c r="I519" i="2"/>
  <c r="H519" i="2"/>
  <c r="H522" i="2" s="1"/>
  <c r="G519" i="2"/>
  <c r="G522" i="2" s="1"/>
  <c r="F519" i="2"/>
  <c r="E519" i="2"/>
  <c r="T518" i="2"/>
  <c r="T522" i="2" s="1"/>
  <c r="S518" i="2"/>
  <c r="Q518" i="2"/>
  <c r="P518" i="2"/>
  <c r="N518" i="2"/>
  <c r="M518" i="2"/>
  <c r="K518" i="2"/>
  <c r="J518" i="2"/>
  <c r="I518" i="2"/>
  <c r="F518" i="2"/>
  <c r="D518" i="2"/>
  <c r="Q517" i="2"/>
  <c r="P517" i="2"/>
  <c r="P522" i="2" s="1"/>
  <c r="O517" i="2"/>
  <c r="N517" i="2"/>
  <c r="M517" i="2"/>
  <c r="L517" i="2"/>
  <c r="L522" i="2" s="1"/>
  <c r="J517" i="2"/>
  <c r="I517" i="2"/>
  <c r="F517" i="2"/>
  <c r="D517" i="2"/>
  <c r="D522" i="2" s="1"/>
  <c r="T516" i="2"/>
  <c r="S516" i="2"/>
  <c r="S522" i="2" s="1"/>
  <c r="R516" i="2"/>
  <c r="Q516" i="2"/>
  <c r="Q522" i="2" s="1"/>
  <c r="P516" i="2"/>
  <c r="O516" i="2"/>
  <c r="O522" i="2" s="1"/>
  <c r="N516" i="2"/>
  <c r="M516" i="2"/>
  <c r="M522" i="2" s="1"/>
  <c r="L516" i="2"/>
  <c r="K516" i="2"/>
  <c r="K522" i="2" s="1"/>
  <c r="J516" i="2"/>
  <c r="I516" i="2"/>
  <c r="I522" i="2" s="1"/>
  <c r="H516" i="2"/>
  <c r="F516" i="2"/>
  <c r="E516" i="2"/>
  <c r="E522" i="2" s="1"/>
  <c r="T510" i="2"/>
  <c r="R510" i="2"/>
  <c r="P510" i="2"/>
  <c r="L510" i="2"/>
  <c r="J510" i="2"/>
  <c r="H510" i="2"/>
  <c r="E510" i="2"/>
  <c r="D510" i="2"/>
  <c r="C510" i="2"/>
  <c r="C511" i="2" s="1"/>
  <c r="S508" i="2"/>
  <c r="S510" i="2" s="1"/>
  <c r="R508" i="2"/>
  <c r="P508" i="2"/>
  <c r="O508" i="2"/>
  <c r="N508" i="2"/>
  <c r="M508" i="2"/>
  <c r="M510" i="2" s="1"/>
  <c r="L508" i="2"/>
  <c r="J508" i="2"/>
  <c r="I508" i="2"/>
  <c r="G508" i="2"/>
  <c r="G510" i="2" s="1"/>
  <c r="F508" i="2"/>
  <c r="F510" i="2" s="1"/>
  <c r="D508" i="2"/>
  <c r="Q507" i="2"/>
  <c r="Q510" i="2" s="1"/>
  <c r="O507" i="2"/>
  <c r="O510" i="2" s="1"/>
  <c r="N507" i="2"/>
  <c r="N510" i="2" s="1"/>
  <c r="L507" i="2"/>
  <c r="K507" i="2"/>
  <c r="K510" i="2" s="1"/>
  <c r="J507" i="2"/>
  <c r="I507" i="2"/>
  <c r="I510" i="2" s="1"/>
  <c r="H507" i="2"/>
  <c r="R505" i="2"/>
  <c r="N505" i="2"/>
  <c r="J505" i="2"/>
  <c r="F505" i="2"/>
  <c r="C505" i="2"/>
  <c r="T503" i="2"/>
  <c r="S503" i="2"/>
  <c r="R503" i="2"/>
  <c r="Q503" i="2"/>
  <c r="P503" i="2"/>
  <c r="O503" i="2"/>
  <c r="N503" i="2"/>
  <c r="M503" i="2"/>
  <c r="I503" i="2"/>
  <c r="H503" i="2"/>
  <c r="G503" i="2"/>
  <c r="F503" i="2"/>
  <c r="E503" i="2"/>
  <c r="D503" i="2"/>
  <c r="T502" i="2"/>
  <c r="S502" i="2"/>
  <c r="R502" i="2"/>
  <c r="Q502" i="2"/>
  <c r="P502" i="2"/>
  <c r="O502" i="2"/>
  <c r="N502" i="2"/>
  <c r="M502" i="2"/>
  <c r="L502" i="2"/>
  <c r="I502" i="2"/>
  <c r="H502" i="2"/>
  <c r="G502" i="2"/>
  <c r="F502" i="2"/>
  <c r="D502" i="2"/>
  <c r="T501" i="2"/>
  <c r="O501" i="2"/>
  <c r="N501" i="2"/>
  <c r="G501" i="2"/>
  <c r="F501" i="2"/>
  <c r="D501" i="2"/>
  <c r="T500" i="2"/>
  <c r="R500" i="2"/>
  <c r="P500" i="2"/>
  <c r="N500" i="2"/>
  <c r="M500" i="2"/>
  <c r="L500" i="2"/>
  <c r="K500" i="2"/>
  <c r="H500" i="2"/>
  <c r="G500" i="2"/>
  <c r="F500" i="2"/>
  <c r="E500" i="2"/>
  <c r="D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D499" i="2"/>
  <c r="T498" i="2"/>
  <c r="S498" i="2"/>
  <c r="R498" i="2"/>
  <c r="Q498" i="2"/>
  <c r="P498" i="2"/>
  <c r="P505" i="2" s="1"/>
  <c r="O498" i="2"/>
  <c r="N498" i="2"/>
  <c r="M498" i="2"/>
  <c r="K498" i="2"/>
  <c r="K505" i="2" s="1"/>
  <c r="J498" i="2"/>
  <c r="I498" i="2"/>
  <c r="H498" i="2"/>
  <c r="G498" i="2"/>
  <c r="F498" i="2"/>
  <c r="T497" i="2"/>
  <c r="T505" i="2" s="1"/>
  <c r="R497" i="2"/>
  <c r="Q497" i="2"/>
  <c r="O497" i="2"/>
  <c r="N497" i="2"/>
  <c r="M497" i="2"/>
  <c r="L497" i="2"/>
  <c r="L505" i="2" s="1"/>
  <c r="J497" i="2"/>
  <c r="H497" i="2"/>
  <c r="G497" i="2"/>
  <c r="F497" i="2"/>
  <c r="E497" i="2"/>
  <c r="D497" i="2"/>
  <c r="T496" i="2"/>
  <c r="S496" i="2"/>
  <c r="S505" i="2" s="1"/>
  <c r="R496" i="2"/>
  <c r="Q496" i="2"/>
  <c r="Q505" i="2" s="1"/>
  <c r="P496" i="2"/>
  <c r="O496" i="2"/>
  <c r="O505" i="2" s="1"/>
  <c r="N496" i="2"/>
  <c r="M496" i="2"/>
  <c r="M505" i="2" s="1"/>
  <c r="L496" i="2"/>
  <c r="J496" i="2"/>
  <c r="I496" i="2"/>
  <c r="I505" i="2" s="1"/>
  <c r="H496" i="2"/>
  <c r="H505" i="2" s="1"/>
  <c r="G496" i="2"/>
  <c r="G505" i="2" s="1"/>
  <c r="F496" i="2"/>
  <c r="E496" i="2"/>
  <c r="E505" i="2" s="1"/>
  <c r="D496" i="2"/>
  <c r="D505" i="2" s="1"/>
  <c r="C494" i="2"/>
  <c r="T492" i="2"/>
  <c r="S492" i="2"/>
  <c r="R492" i="2"/>
  <c r="Q492" i="2"/>
  <c r="P492" i="2"/>
  <c r="O492" i="2"/>
  <c r="N492" i="2"/>
  <c r="M492" i="2"/>
  <c r="I492" i="2"/>
  <c r="H492" i="2"/>
  <c r="G492" i="2"/>
  <c r="F492" i="2"/>
  <c r="E492" i="2"/>
  <c r="D492" i="2"/>
  <c r="T491" i="2"/>
  <c r="S491" i="2"/>
  <c r="R491" i="2"/>
  <c r="Q491" i="2"/>
  <c r="P491" i="2"/>
  <c r="O491" i="2"/>
  <c r="N491" i="2"/>
  <c r="M491" i="2"/>
  <c r="L491" i="2"/>
  <c r="I491" i="2"/>
  <c r="H491" i="2"/>
  <c r="G491" i="2"/>
  <c r="F491" i="2"/>
  <c r="F494" i="2" s="1"/>
  <c r="E491" i="2"/>
  <c r="D491" i="2"/>
  <c r="S490" i="2"/>
  <c r="Q490" i="2"/>
  <c r="P490" i="2"/>
  <c r="O490" i="2"/>
  <c r="N490" i="2"/>
  <c r="M490" i="2"/>
  <c r="L490" i="2"/>
  <c r="K490" i="2"/>
  <c r="J490" i="2"/>
  <c r="I490" i="2"/>
  <c r="H490" i="2"/>
  <c r="G490" i="2"/>
  <c r="E490" i="2"/>
  <c r="D490" i="2"/>
  <c r="T489" i="2"/>
  <c r="S489" i="2"/>
  <c r="S494" i="2" s="1"/>
  <c r="R489" i="2"/>
  <c r="Q489" i="2"/>
  <c r="P489" i="2"/>
  <c r="O489" i="2"/>
  <c r="N489" i="2"/>
  <c r="M489" i="2"/>
  <c r="L489" i="2"/>
  <c r="J489" i="2"/>
  <c r="I489" i="2"/>
  <c r="H489" i="2"/>
  <c r="G489" i="2"/>
  <c r="E489" i="2"/>
  <c r="E494" i="2" s="1"/>
  <c r="D489" i="2"/>
  <c r="T488" i="2"/>
  <c r="T494" i="2" s="1"/>
  <c r="S488" i="2"/>
  <c r="R488" i="2"/>
  <c r="R494" i="2" s="1"/>
  <c r="R511" i="2" s="1"/>
  <c r="Q488" i="2"/>
  <c r="P488" i="2"/>
  <c r="P494" i="2" s="1"/>
  <c r="O488" i="2"/>
  <c r="N488" i="2"/>
  <c r="N494" i="2" s="1"/>
  <c r="M488" i="2"/>
  <c r="L488" i="2"/>
  <c r="L494" i="2" s="1"/>
  <c r="K488" i="2"/>
  <c r="J488" i="2"/>
  <c r="J494" i="2" s="1"/>
  <c r="J511" i="2" s="1"/>
  <c r="I488" i="2"/>
  <c r="H488" i="2"/>
  <c r="H494" i="2" s="1"/>
  <c r="G488" i="2"/>
  <c r="D488" i="2"/>
  <c r="D494" i="2" s="1"/>
  <c r="G482" i="2"/>
  <c r="E482" i="2"/>
  <c r="C482" i="2"/>
  <c r="C483" i="2" s="1"/>
  <c r="T480" i="2"/>
  <c r="S480" i="2"/>
  <c r="R480" i="2"/>
  <c r="Q480" i="2"/>
  <c r="P480" i="2"/>
  <c r="O480" i="2"/>
  <c r="N480" i="2"/>
  <c r="M480" i="2"/>
  <c r="L480" i="2"/>
  <c r="J480" i="2"/>
  <c r="I480" i="2"/>
  <c r="H480" i="2"/>
  <c r="G480" i="2"/>
  <c r="F480" i="2"/>
  <c r="E480" i="2"/>
  <c r="D480" i="2"/>
  <c r="D482" i="2" s="1"/>
  <c r="D483" i="2" s="1"/>
  <c r="T479" i="2"/>
  <c r="T482" i="2" s="1"/>
  <c r="S479" i="2"/>
  <c r="S482" i="2" s="1"/>
  <c r="S483" i="2" s="1"/>
  <c r="R479" i="2"/>
  <c r="R482" i="2" s="1"/>
  <c r="Q479" i="2"/>
  <c r="Q482" i="2" s="1"/>
  <c r="Q483" i="2" s="1"/>
  <c r="P479" i="2"/>
  <c r="P482" i="2" s="1"/>
  <c r="O479" i="2"/>
  <c r="O482" i="2" s="1"/>
  <c r="O483" i="2" s="1"/>
  <c r="N479" i="2"/>
  <c r="N482" i="2" s="1"/>
  <c r="M479" i="2"/>
  <c r="M482" i="2" s="1"/>
  <c r="M483" i="2" s="1"/>
  <c r="L479" i="2"/>
  <c r="L482" i="2" s="1"/>
  <c r="K479" i="2"/>
  <c r="K482" i="2" s="1"/>
  <c r="K483" i="2" s="1"/>
  <c r="J479" i="2"/>
  <c r="I479" i="2"/>
  <c r="I482" i="2" s="1"/>
  <c r="I483" i="2" s="1"/>
  <c r="H479" i="2"/>
  <c r="F479" i="2"/>
  <c r="F482" i="2" s="1"/>
  <c r="F483" i="2" s="1"/>
  <c r="Q477" i="2"/>
  <c r="M477" i="2"/>
  <c r="K477" i="2"/>
  <c r="I477" i="2"/>
  <c r="E477" i="2"/>
  <c r="C477" i="2"/>
  <c r="T475" i="2"/>
  <c r="S475" i="2"/>
  <c r="R475" i="2"/>
  <c r="Q475" i="2"/>
  <c r="P475" i="2"/>
  <c r="O475" i="2"/>
  <c r="N475" i="2"/>
  <c r="M475" i="2"/>
  <c r="I475" i="2"/>
  <c r="H475" i="2"/>
  <c r="G475" i="2"/>
  <c r="F475" i="2"/>
  <c r="E475" i="2"/>
  <c r="D475" i="2"/>
  <c r="T474" i="2"/>
  <c r="S474" i="2"/>
  <c r="R474" i="2"/>
  <c r="Q474" i="2"/>
  <c r="P474" i="2"/>
  <c r="O474" i="2"/>
  <c r="N474" i="2"/>
  <c r="M474" i="2"/>
  <c r="L474" i="2"/>
  <c r="I474" i="2"/>
  <c r="H474" i="2"/>
  <c r="G474" i="2"/>
  <c r="F474" i="2"/>
  <c r="E474" i="2"/>
  <c r="D474" i="2"/>
  <c r="T473" i="2"/>
  <c r="S473" i="2"/>
  <c r="Q473" i="2"/>
  <c r="P473" i="2"/>
  <c r="O473" i="2"/>
  <c r="N473" i="2"/>
  <c r="M473" i="2"/>
  <c r="L473" i="2"/>
  <c r="J473" i="2"/>
  <c r="I473" i="2"/>
  <c r="G473" i="2"/>
  <c r="F473" i="2"/>
  <c r="D473" i="2"/>
  <c r="T472" i="2"/>
  <c r="R472" i="2"/>
  <c r="P472" i="2"/>
  <c r="N472" i="2"/>
  <c r="M472" i="2"/>
  <c r="L472" i="2"/>
  <c r="K472" i="2"/>
  <c r="H472" i="2"/>
  <c r="G472" i="2"/>
  <c r="F472" i="2"/>
  <c r="E472" i="2"/>
  <c r="D472" i="2"/>
  <c r="T471" i="2"/>
  <c r="S471" i="2"/>
  <c r="S477" i="2" s="1"/>
  <c r="R471" i="2"/>
  <c r="Q471" i="2"/>
  <c r="P471" i="2"/>
  <c r="O471" i="2"/>
  <c r="O477" i="2" s="1"/>
  <c r="N471" i="2"/>
  <c r="M471" i="2"/>
  <c r="L471" i="2"/>
  <c r="J471" i="2"/>
  <c r="I471" i="2"/>
  <c r="H471" i="2"/>
  <c r="G471" i="2"/>
  <c r="E471" i="2"/>
  <c r="S470" i="2"/>
  <c r="R470" i="2"/>
  <c r="Q470" i="2"/>
  <c r="P470" i="2"/>
  <c r="O470" i="2"/>
  <c r="N470" i="2"/>
  <c r="M470" i="2"/>
  <c r="L470" i="2"/>
  <c r="J470" i="2"/>
  <c r="I470" i="2"/>
  <c r="H470" i="2"/>
  <c r="G470" i="2"/>
  <c r="E470" i="2"/>
  <c r="T469" i="2"/>
  <c r="T477" i="2" s="1"/>
  <c r="S469" i="2"/>
  <c r="R469" i="2"/>
  <c r="R477" i="2" s="1"/>
  <c r="Q469" i="2"/>
  <c r="P469" i="2"/>
  <c r="P477" i="2" s="1"/>
  <c r="O469" i="2"/>
  <c r="N469" i="2"/>
  <c r="N477" i="2" s="1"/>
  <c r="M469" i="2"/>
  <c r="L469" i="2"/>
  <c r="L477" i="2" s="1"/>
  <c r="J469" i="2"/>
  <c r="J477" i="2" s="1"/>
  <c r="I469" i="2"/>
  <c r="H469" i="2"/>
  <c r="H477" i="2" s="1"/>
  <c r="G469" i="2"/>
  <c r="G477" i="2" s="1"/>
  <c r="F469" i="2"/>
  <c r="F477" i="2" s="1"/>
  <c r="E469" i="2"/>
  <c r="D469" i="2"/>
  <c r="D477" i="2" s="1"/>
  <c r="R467" i="2"/>
  <c r="N467" i="2"/>
  <c r="J467" i="2"/>
  <c r="F467" i="2"/>
  <c r="C467" i="2"/>
  <c r="T465" i="2"/>
  <c r="S465" i="2"/>
  <c r="R465" i="2"/>
  <c r="Q465" i="2"/>
  <c r="P465" i="2"/>
  <c r="O465" i="2"/>
  <c r="N465" i="2"/>
  <c r="M465" i="2"/>
  <c r="I465" i="2"/>
  <c r="H465" i="2"/>
  <c r="G465" i="2"/>
  <c r="F465" i="2"/>
  <c r="E465" i="2"/>
  <c r="D465" i="2"/>
  <c r="T464" i="2"/>
  <c r="T467" i="2" s="1"/>
  <c r="S464" i="2"/>
  <c r="R464" i="2"/>
  <c r="Q464" i="2"/>
  <c r="P464" i="2"/>
  <c r="O464" i="2"/>
  <c r="N464" i="2"/>
  <c r="M464" i="2"/>
  <c r="L464" i="2"/>
  <c r="I464" i="2"/>
  <c r="H464" i="2"/>
  <c r="G464" i="2"/>
  <c r="F464" i="2"/>
  <c r="E464" i="2"/>
  <c r="D464" i="2"/>
  <c r="T463" i="2"/>
  <c r="S463" i="2"/>
  <c r="Q463" i="2"/>
  <c r="P463" i="2"/>
  <c r="N463" i="2"/>
  <c r="M463" i="2"/>
  <c r="K463" i="2"/>
  <c r="J463" i="2"/>
  <c r="I463" i="2"/>
  <c r="H463" i="2"/>
  <c r="H467" i="2" s="1"/>
  <c r="G463" i="2"/>
  <c r="G467" i="2" s="1"/>
  <c r="F463" i="2"/>
  <c r="E463" i="2"/>
  <c r="E467" i="2" s="1"/>
  <c r="E483" i="2" s="1"/>
  <c r="D463" i="2"/>
  <c r="Q462" i="2"/>
  <c r="P462" i="2"/>
  <c r="P467" i="2" s="1"/>
  <c r="O462" i="2"/>
  <c r="N462" i="2"/>
  <c r="M462" i="2"/>
  <c r="L462" i="2"/>
  <c r="L467" i="2" s="1"/>
  <c r="J462" i="2"/>
  <c r="I462" i="2"/>
  <c r="F462" i="2"/>
  <c r="D462" i="2"/>
  <c r="D467" i="2" s="1"/>
  <c r="T461" i="2"/>
  <c r="S461" i="2"/>
  <c r="S467" i="2" s="1"/>
  <c r="R461" i="2"/>
  <c r="Q461" i="2"/>
  <c r="Q467" i="2" s="1"/>
  <c r="P461" i="2"/>
  <c r="O461" i="2"/>
  <c r="O467" i="2" s="1"/>
  <c r="N461" i="2"/>
  <c r="M461" i="2"/>
  <c r="M467" i="2" s="1"/>
  <c r="L461" i="2"/>
  <c r="K461" i="2"/>
  <c r="K467" i="2" s="1"/>
  <c r="J461" i="2"/>
  <c r="I461" i="2"/>
  <c r="I467" i="2" s="1"/>
  <c r="H461" i="2"/>
  <c r="F461" i="2"/>
  <c r="C456" i="2"/>
  <c r="Q455" i="2"/>
  <c r="M455" i="2"/>
  <c r="M456" i="2" s="1"/>
  <c r="I455" i="2"/>
  <c r="E455" i="2"/>
  <c r="E456" i="2" s="1"/>
  <c r="C455" i="2"/>
  <c r="T453" i="2"/>
  <c r="S453" i="2"/>
  <c r="R453" i="2"/>
  <c r="Q453" i="2"/>
  <c r="P453" i="2"/>
  <c r="O453" i="2"/>
  <c r="N453" i="2"/>
  <c r="M453" i="2"/>
  <c r="L453" i="2"/>
  <c r="J453" i="2"/>
  <c r="I453" i="2"/>
  <c r="H453" i="2"/>
  <c r="G453" i="2"/>
  <c r="F453" i="2"/>
  <c r="F455" i="2" s="1"/>
  <c r="E453" i="2"/>
  <c r="D453" i="2"/>
  <c r="T452" i="2"/>
  <c r="T455" i="2" s="1"/>
  <c r="S452" i="2"/>
  <c r="S455" i="2" s="1"/>
  <c r="R452" i="2"/>
  <c r="R455" i="2" s="1"/>
  <c r="R456" i="2" s="1"/>
  <c r="Q452" i="2"/>
  <c r="P452" i="2"/>
  <c r="P455" i="2" s="1"/>
  <c r="O452" i="2"/>
  <c r="O455" i="2" s="1"/>
  <c r="O456" i="2" s="1"/>
  <c r="N452" i="2"/>
  <c r="N455" i="2" s="1"/>
  <c r="M452" i="2"/>
  <c r="L452" i="2"/>
  <c r="L455" i="2" s="1"/>
  <c r="K452" i="2"/>
  <c r="K455" i="2" s="1"/>
  <c r="J452" i="2"/>
  <c r="J455" i="2" s="1"/>
  <c r="I452" i="2"/>
  <c r="H452" i="2"/>
  <c r="H455" i="2" s="1"/>
  <c r="G452" i="2"/>
  <c r="G455" i="2" s="1"/>
  <c r="G456" i="2" s="1"/>
  <c r="D452" i="2"/>
  <c r="D455" i="2" s="1"/>
  <c r="R450" i="2"/>
  <c r="N450" i="2"/>
  <c r="J450" i="2"/>
  <c r="F450" i="2"/>
  <c r="C450" i="2"/>
  <c r="T448" i="2"/>
  <c r="S448" i="2"/>
  <c r="R448" i="2"/>
  <c r="Q448" i="2"/>
  <c r="P448" i="2"/>
  <c r="O448" i="2"/>
  <c r="N448" i="2"/>
  <c r="M448" i="2"/>
  <c r="I448" i="2"/>
  <c r="H448" i="2"/>
  <c r="G448" i="2"/>
  <c r="F448" i="2"/>
  <c r="E448" i="2"/>
  <c r="D448" i="2"/>
  <c r="T447" i="2"/>
  <c r="S447" i="2"/>
  <c r="R447" i="2"/>
  <c r="Q447" i="2"/>
  <c r="P447" i="2"/>
  <c r="O447" i="2"/>
  <c r="N447" i="2"/>
  <c r="M447" i="2"/>
  <c r="L447" i="2"/>
  <c r="I447" i="2"/>
  <c r="H447" i="2"/>
  <c r="G447" i="2"/>
  <c r="F447" i="2"/>
  <c r="E447" i="2"/>
  <c r="D447" i="2"/>
  <c r="Q446" i="2"/>
  <c r="P446" i="2"/>
  <c r="O446" i="2"/>
  <c r="N446" i="2"/>
  <c r="M446" i="2"/>
  <c r="L446" i="2"/>
  <c r="L450" i="2" s="1"/>
  <c r="J446" i="2"/>
  <c r="I446" i="2"/>
  <c r="G446" i="2"/>
  <c r="F446" i="2"/>
  <c r="D446" i="2"/>
  <c r="T445" i="2"/>
  <c r="R445" i="2"/>
  <c r="P445" i="2"/>
  <c r="P450" i="2" s="1"/>
  <c r="N445" i="2"/>
  <c r="M445" i="2"/>
  <c r="L445" i="2"/>
  <c r="K445" i="2"/>
  <c r="H445" i="2"/>
  <c r="G445" i="2"/>
  <c r="F445" i="2"/>
  <c r="E445" i="2"/>
  <c r="D445" i="2"/>
  <c r="T444" i="2"/>
  <c r="T450" i="2" s="1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T443" i="2"/>
  <c r="S443" i="2"/>
  <c r="R443" i="2"/>
  <c r="Q443" i="2"/>
  <c r="P443" i="2"/>
  <c r="O443" i="2"/>
  <c r="N443" i="2"/>
  <c r="M443" i="2"/>
  <c r="L443" i="2"/>
  <c r="K443" i="2"/>
  <c r="K450" i="2" s="1"/>
  <c r="J443" i="2"/>
  <c r="I443" i="2"/>
  <c r="H443" i="2"/>
  <c r="G443" i="2"/>
  <c r="T442" i="2"/>
  <c r="S442" i="2"/>
  <c r="S450" i="2" s="1"/>
  <c r="R442" i="2"/>
  <c r="Q442" i="2"/>
  <c r="Q450" i="2" s="1"/>
  <c r="P442" i="2"/>
  <c r="O442" i="2"/>
  <c r="O450" i="2" s="1"/>
  <c r="N442" i="2"/>
  <c r="M442" i="2"/>
  <c r="M450" i="2" s="1"/>
  <c r="L442" i="2"/>
  <c r="J442" i="2"/>
  <c r="I442" i="2"/>
  <c r="I450" i="2" s="1"/>
  <c r="H442" i="2"/>
  <c r="H450" i="2" s="1"/>
  <c r="G442" i="2"/>
  <c r="G450" i="2" s="1"/>
  <c r="F442" i="2"/>
  <c r="E442" i="2"/>
  <c r="E450" i="2" s="1"/>
  <c r="D442" i="2"/>
  <c r="D450" i="2" s="1"/>
  <c r="O440" i="2"/>
  <c r="G440" i="2"/>
  <c r="C440" i="2"/>
  <c r="T438" i="2"/>
  <c r="S438" i="2"/>
  <c r="R438" i="2"/>
  <c r="Q438" i="2"/>
  <c r="P438" i="2"/>
  <c r="O438" i="2"/>
  <c r="N438" i="2"/>
  <c r="M438" i="2"/>
  <c r="I438" i="2"/>
  <c r="H438" i="2"/>
  <c r="G438" i="2"/>
  <c r="F438" i="2"/>
  <c r="E438" i="2"/>
  <c r="D438" i="2"/>
  <c r="T437" i="2"/>
  <c r="S437" i="2"/>
  <c r="R437" i="2"/>
  <c r="Q437" i="2"/>
  <c r="Q440" i="2" s="1"/>
  <c r="P437" i="2"/>
  <c r="O437" i="2"/>
  <c r="N437" i="2"/>
  <c r="M437" i="2"/>
  <c r="M440" i="2" s="1"/>
  <c r="L437" i="2"/>
  <c r="I437" i="2"/>
  <c r="H437" i="2"/>
  <c r="G437" i="2"/>
  <c r="F437" i="2"/>
  <c r="E437" i="2"/>
  <c r="D437" i="2"/>
  <c r="S436" i="2"/>
  <c r="S440" i="2" s="1"/>
  <c r="S456" i="2" s="1"/>
  <c r="Q436" i="2"/>
  <c r="P436" i="2"/>
  <c r="O436" i="2"/>
  <c r="N436" i="2"/>
  <c r="M436" i="2"/>
  <c r="L436" i="2"/>
  <c r="K436" i="2"/>
  <c r="J436" i="2"/>
  <c r="I436" i="2"/>
  <c r="H436" i="2"/>
  <c r="G436" i="2"/>
  <c r="E436" i="2"/>
  <c r="D436" i="2"/>
  <c r="T435" i="2"/>
  <c r="S435" i="2"/>
  <c r="R435" i="2"/>
  <c r="Q435" i="2"/>
  <c r="P435" i="2"/>
  <c r="O435" i="2"/>
  <c r="N435" i="2"/>
  <c r="M435" i="2"/>
  <c r="L435" i="2"/>
  <c r="L440" i="2" s="1"/>
  <c r="J435" i="2"/>
  <c r="I435" i="2"/>
  <c r="H435" i="2"/>
  <c r="G435" i="2"/>
  <c r="F435" i="2"/>
  <c r="E435" i="2"/>
  <c r="D435" i="2"/>
  <c r="T434" i="2"/>
  <c r="T440" i="2" s="1"/>
  <c r="S434" i="2"/>
  <c r="R434" i="2"/>
  <c r="R440" i="2" s="1"/>
  <c r="Q434" i="2"/>
  <c r="P434" i="2"/>
  <c r="P440" i="2" s="1"/>
  <c r="O434" i="2"/>
  <c r="N434" i="2"/>
  <c r="N440" i="2" s="1"/>
  <c r="M434" i="2"/>
  <c r="K434" i="2"/>
  <c r="K440" i="2" s="1"/>
  <c r="K456" i="2" s="1"/>
  <c r="J434" i="2"/>
  <c r="I434" i="2"/>
  <c r="I440" i="2" s="1"/>
  <c r="H434" i="2"/>
  <c r="E434" i="2"/>
  <c r="E440" i="2" s="1"/>
  <c r="Q429" i="2"/>
  <c r="S428" i="2"/>
  <c r="S429" i="2" s="1"/>
  <c r="Q428" i="2"/>
  <c r="P428" i="2"/>
  <c r="M428" i="2"/>
  <c r="M429" i="2" s="1"/>
  <c r="I428" i="2"/>
  <c r="I429" i="2" s="1"/>
  <c r="E428" i="2"/>
  <c r="E429" i="2" s="1"/>
  <c r="C428" i="2"/>
  <c r="C429" i="2" s="1"/>
  <c r="S426" i="2"/>
  <c r="R426" i="2"/>
  <c r="Q426" i="2"/>
  <c r="O426" i="2"/>
  <c r="N426" i="2"/>
  <c r="M426" i="2"/>
  <c r="I426" i="2"/>
  <c r="H426" i="2"/>
  <c r="G426" i="2"/>
  <c r="T425" i="2"/>
  <c r="T428" i="2" s="1"/>
  <c r="S425" i="2"/>
  <c r="R425" i="2"/>
  <c r="R428" i="2" s="1"/>
  <c r="Q425" i="2"/>
  <c r="O425" i="2"/>
  <c r="O428" i="2" s="1"/>
  <c r="O429" i="2" s="1"/>
  <c r="N425" i="2"/>
  <c r="N428" i="2" s="1"/>
  <c r="M425" i="2"/>
  <c r="L425" i="2"/>
  <c r="L428" i="2" s="1"/>
  <c r="K425" i="2"/>
  <c r="K428" i="2" s="1"/>
  <c r="K429" i="2" s="1"/>
  <c r="J425" i="2"/>
  <c r="J428" i="2" s="1"/>
  <c r="I425" i="2"/>
  <c r="H425" i="2"/>
  <c r="H428" i="2" s="1"/>
  <c r="G425" i="2"/>
  <c r="G428" i="2" s="1"/>
  <c r="G429" i="2" s="1"/>
  <c r="F425" i="2"/>
  <c r="F428" i="2" s="1"/>
  <c r="E425" i="2"/>
  <c r="D425" i="2"/>
  <c r="D428" i="2" s="1"/>
  <c r="R423" i="2"/>
  <c r="N423" i="2"/>
  <c r="J423" i="2"/>
  <c r="F423" i="2"/>
  <c r="C423" i="2"/>
  <c r="T421" i="2"/>
  <c r="S421" i="2"/>
  <c r="R421" i="2"/>
  <c r="Q421" i="2"/>
  <c r="P421" i="2"/>
  <c r="O421" i="2"/>
  <c r="N421" i="2"/>
  <c r="M421" i="2"/>
  <c r="I421" i="2"/>
  <c r="H421" i="2"/>
  <c r="G421" i="2"/>
  <c r="F421" i="2"/>
  <c r="E421" i="2"/>
  <c r="D421" i="2"/>
  <c r="T420" i="2"/>
  <c r="S420" i="2"/>
  <c r="R420" i="2"/>
  <c r="Q420" i="2"/>
  <c r="P420" i="2"/>
  <c r="O420" i="2"/>
  <c r="N420" i="2"/>
  <c r="M420" i="2"/>
  <c r="L420" i="2"/>
  <c r="I420" i="2"/>
  <c r="H420" i="2"/>
  <c r="G420" i="2"/>
  <c r="F420" i="2"/>
  <c r="E420" i="2"/>
  <c r="D420" i="2"/>
  <c r="D423" i="2" s="1"/>
  <c r="T419" i="2"/>
  <c r="S419" i="2"/>
  <c r="R419" i="2"/>
  <c r="Q419" i="2"/>
  <c r="P419" i="2"/>
  <c r="O419" i="2"/>
  <c r="N419" i="2"/>
  <c r="M419" i="2"/>
  <c r="L419" i="2"/>
  <c r="J419" i="2"/>
  <c r="I419" i="2"/>
  <c r="H419" i="2"/>
  <c r="H423" i="2" s="1"/>
  <c r="G419" i="2"/>
  <c r="F419" i="2"/>
  <c r="E419" i="2"/>
  <c r="T418" i="2"/>
  <c r="R418" i="2"/>
  <c r="P418" i="2"/>
  <c r="N418" i="2"/>
  <c r="M418" i="2"/>
  <c r="L418" i="2"/>
  <c r="K418" i="2"/>
  <c r="H418" i="2"/>
  <c r="G418" i="2"/>
  <c r="F418" i="2"/>
  <c r="E418" i="2"/>
  <c r="D418" i="2"/>
  <c r="T417" i="2"/>
  <c r="S417" i="2"/>
  <c r="R417" i="2"/>
  <c r="Q417" i="2"/>
  <c r="P417" i="2"/>
  <c r="O417" i="2"/>
  <c r="N417" i="2"/>
  <c r="M417" i="2"/>
  <c r="L417" i="2"/>
  <c r="J417" i="2"/>
  <c r="I417" i="2"/>
  <c r="H417" i="2"/>
  <c r="G417" i="2"/>
  <c r="E417" i="2"/>
  <c r="T416" i="2"/>
  <c r="S416" i="2"/>
  <c r="R416" i="2"/>
  <c r="Q416" i="2"/>
  <c r="P416" i="2"/>
  <c r="O416" i="2"/>
  <c r="N416" i="2"/>
  <c r="M416" i="2"/>
  <c r="K416" i="2"/>
  <c r="J416" i="2"/>
  <c r="I416" i="2"/>
  <c r="H416" i="2"/>
  <c r="E416" i="2"/>
  <c r="D416" i="2"/>
  <c r="T415" i="2"/>
  <c r="T423" i="2" s="1"/>
  <c r="S415" i="2"/>
  <c r="R415" i="2"/>
  <c r="Q415" i="2"/>
  <c r="P415" i="2"/>
  <c r="P423" i="2" s="1"/>
  <c r="O415" i="2"/>
  <c r="N415" i="2"/>
  <c r="M415" i="2"/>
  <c r="L415" i="2"/>
  <c r="L423" i="2" s="1"/>
  <c r="J415" i="2"/>
  <c r="I415" i="2"/>
  <c r="G415" i="2"/>
  <c r="F415" i="2"/>
  <c r="T414" i="2"/>
  <c r="S414" i="2"/>
  <c r="S423" i="2" s="1"/>
  <c r="R414" i="2"/>
  <c r="Q414" i="2"/>
  <c r="Q423" i="2" s="1"/>
  <c r="P414" i="2"/>
  <c r="O414" i="2"/>
  <c r="O423" i="2" s="1"/>
  <c r="N414" i="2"/>
  <c r="M414" i="2"/>
  <c r="M423" i="2" s="1"/>
  <c r="L414" i="2"/>
  <c r="K414" i="2"/>
  <c r="K423" i="2" s="1"/>
  <c r="J414" i="2"/>
  <c r="I414" i="2"/>
  <c r="I423" i="2" s="1"/>
  <c r="H414" i="2"/>
  <c r="G414" i="2"/>
  <c r="G423" i="2" s="1"/>
  <c r="F414" i="2"/>
  <c r="E414" i="2"/>
  <c r="E423" i="2" s="1"/>
  <c r="D414" i="2"/>
  <c r="R412" i="2"/>
  <c r="N412" i="2"/>
  <c r="J412" i="2"/>
  <c r="F412" i="2"/>
  <c r="C412" i="2"/>
  <c r="T410" i="2"/>
  <c r="S410" i="2"/>
  <c r="R410" i="2"/>
  <c r="Q410" i="2"/>
  <c r="P410" i="2"/>
  <c r="O410" i="2"/>
  <c r="N410" i="2"/>
  <c r="M410" i="2"/>
  <c r="I410" i="2"/>
  <c r="H410" i="2"/>
  <c r="G410" i="2"/>
  <c r="F410" i="2"/>
  <c r="E410" i="2"/>
  <c r="D410" i="2"/>
  <c r="T409" i="2"/>
  <c r="T412" i="2" s="1"/>
  <c r="S409" i="2"/>
  <c r="R409" i="2"/>
  <c r="Q409" i="2"/>
  <c r="P409" i="2"/>
  <c r="O409" i="2"/>
  <c r="N409" i="2"/>
  <c r="M409" i="2"/>
  <c r="L409" i="2"/>
  <c r="L412" i="2" s="1"/>
  <c r="I409" i="2"/>
  <c r="H409" i="2"/>
  <c r="G409" i="2"/>
  <c r="F409" i="2"/>
  <c r="E409" i="2"/>
  <c r="D409" i="2"/>
  <c r="T408" i="2"/>
  <c r="S408" i="2"/>
  <c r="Q408" i="2"/>
  <c r="P408" i="2"/>
  <c r="P412" i="2" s="1"/>
  <c r="N408" i="2"/>
  <c r="M408" i="2"/>
  <c r="K408" i="2"/>
  <c r="J408" i="2"/>
  <c r="I408" i="2"/>
  <c r="H408" i="2"/>
  <c r="H412" i="2" s="1"/>
  <c r="G408" i="2"/>
  <c r="F408" i="2"/>
  <c r="E408" i="2"/>
  <c r="E412" i="2" s="1"/>
  <c r="Q407" i="2"/>
  <c r="P407" i="2"/>
  <c r="O407" i="2"/>
  <c r="N407" i="2"/>
  <c r="M407" i="2"/>
  <c r="L407" i="2"/>
  <c r="J407" i="2"/>
  <c r="I407" i="2"/>
  <c r="G407" i="2"/>
  <c r="F407" i="2"/>
  <c r="D407" i="2"/>
  <c r="D412" i="2" s="1"/>
  <c r="T406" i="2"/>
  <c r="S406" i="2"/>
  <c r="S412" i="2" s="1"/>
  <c r="R406" i="2"/>
  <c r="Q406" i="2"/>
  <c r="Q412" i="2" s="1"/>
  <c r="P406" i="2"/>
  <c r="O406" i="2"/>
  <c r="O412" i="2" s="1"/>
  <c r="N406" i="2"/>
  <c r="M406" i="2"/>
  <c r="M412" i="2" s="1"/>
  <c r="L406" i="2"/>
  <c r="K406" i="2"/>
  <c r="K412" i="2" s="1"/>
  <c r="J406" i="2"/>
  <c r="I406" i="2"/>
  <c r="I412" i="2" s="1"/>
  <c r="H406" i="2"/>
  <c r="G406" i="2"/>
  <c r="G412" i="2" s="1"/>
  <c r="D406" i="2"/>
  <c r="T400" i="2"/>
  <c r="R400" i="2"/>
  <c r="N400" i="2"/>
  <c r="L400" i="2"/>
  <c r="K400" i="2"/>
  <c r="C400" i="2"/>
  <c r="C401" i="2" s="1"/>
  <c r="Q398" i="2"/>
  <c r="Q400" i="2" s="1"/>
  <c r="P398" i="2"/>
  <c r="O398" i="2"/>
  <c r="N398" i="2"/>
  <c r="M398" i="2"/>
  <c r="L398" i="2"/>
  <c r="J398" i="2"/>
  <c r="I398" i="2"/>
  <c r="G398" i="2"/>
  <c r="F398" i="2"/>
  <c r="D398" i="2"/>
  <c r="D400" i="2" s="1"/>
  <c r="T397" i="2"/>
  <c r="S397" i="2"/>
  <c r="S400" i="2" s="1"/>
  <c r="R397" i="2"/>
  <c r="P397" i="2"/>
  <c r="P400" i="2" s="1"/>
  <c r="O397" i="2"/>
  <c r="M397" i="2"/>
  <c r="M400" i="2" s="1"/>
  <c r="L397" i="2"/>
  <c r="J397" i="2"/>
  <c r="J400" i="2" s="1"/>
  <c r="I397" i="2"/>
  <c r="I400" i="2" s="1"/>
  <c r="H397" i="2"/>
  <c r="H400" i="2" s="1"/>
  <c r="G397" i="2"/>
  <c r="F397" i="2"/>
  <c r="F400" i="2" s="1"/>
  <c r="E397" i="2"/>
  <c r="E400" i="2" s="1"/>
  <c r="C395" i="2"/>
  <c r="T393" i="2"/>
  <c r="S393" i="2"/>
  <c r="R393" i="2"/>
  <c r="Q393" i="2"/>
  <c r="P393" i="2"/>
  <c r="O393" i="2"/>
  <c r="N393" i="2"/>
  <c r="M393" i="2"/>
  <c r="I393" i="2"/>
  <c r="H393" i="2"/>
  <c r="G393" i="2"/>
  <c r="F393" i="2"/>
  <c r="E393" i="2"/>
  <c r="D393" i="2"/>
  <c r="T392" i="2"/>
  <c r="S392" i="2"/>
  <c r="R392" i="2"/>
  <c r="Q392" i="2"/>
  <c r="P392" i="2"/>
  <c r="O392" i="2"/>
  <c r="N392" i="2"/>
  <c r="M392" i="2"/>
  <c r="L392" i="2"/>
  <c r="I392" i="2"/>
  <c r="H392" i="2"/>
  <c r="G392" i="2"/>
  <c r="F392" i="2"/>
  <c r="E392" i="2"/>
  <c r="D392" i="2"/>
  <c r="D395" i="2" s="1"/>
  <c r="Q391" i="2"/>
  <c r="P391" i="2"/>
  <c r="O391" i="2"/>
  <c r="N391" i="2"/>
  <c r="M391" i="2"/>
  <c r="L391" i="2"/>
  <c r="J391" i="2"/>
  <c r="I391" i="2"/>
  <c r="H391" i="2"/>
  <c r="G391" i="2"/>
  <c r="F391" i="2"/>
  <c r="E391" i="2"/>
  <c r="D391" i="2"/>
  <c r="T390" i="2"/>
  <c r="S390" i="2"/>
  <c r="R390" i="2"/>
  <c r="Q390" i="2"/>
  <c r="P390" i="2"/>
  <c r="O390" i="2"/>
  <c r="N390" i="2"/>
  <c r="M390" i="2"/>
  <c r="L390" i="2"/>
  <c r="K390" i="2"/>
  <c r="J390" i="2"/>
  <c r="J395" i="2" s="1"/>
  <c r="I390" i="2"/>
  <c r="H390" i="2"/>
  <c r="H395" i="2" s="1"/>
  <c r="G390" i="2"/>
  <c r="F390" i="2"/>
  <c r="F395" i="2" s="1"/>
  <c r="E390" i="2"/>
  <c r="T389" i="2"/>
  <c r="S389" i="2"/>
  <c r="R389" i="2"/>
  <c r="Q389" i="2"/>
  <c r="P389" i="2"/>
  <c r="O389" i="2"/>
  <c r="N389" i="2"/>
  <c r="M389" i="2"/>
  <c r="K389" i="2"/>
  <c r="K395" i="2" s="1"/>
  <c r="J389" i="2"/>
  <c r="I389" i="2"/>
  <c r="H389" i="2"/>
  <c r="G389" i="2"/>
  <c r="F389" i="2"/>
  <c r="E389" i="2"/>
  <c r="D389" i="2"/>
  <c r="T388" i="2"/>
  <c r="S388" i="2"/>
  <c r="R388" i="2"/>
  <c r="Q388" i="2"/>
  <c r="P388" i="2"/>
  <c r="O388" i="2"/>
  <c r="N388" i="2"/>
  <c r="M388" i="2"/>
  <c r="L388" i="2"/>
  <c r="J388" i="2"/>
  <c r="I388" i="2"/>
  <c r="H388" i="2"/>
  <c r="G388" i="2"/>
  <c r="F388" i="2"/>
  <c r="E388" i="2"/>
  <c r="D388" i="2"/>
  <c r="T387" i="2"/>
  <c r="T395" i="2" s="1"/>
  <c r="S387" i="2"/>
  <c r="S395" i="2" s="1"/>
  <c r="R387" i="2"/>
  <c r="R395" i="2" s="1"/>
  <c r="Q387" i="2"/>
  <c r="Q395" i="2" s="1"/>
  <c r="P387" i="2"/>
  <c r="P395" i="2" s="1"/>
  <c r="O387" i="2"/>
  <c r="O395" i="2" s="1"/>
  <c r="N387" i="2"/>
  <c r="N395" i="2" s="1"/>
  <c r="M387" i="2"/>
  <c r="M395" i="2" s="1"/>
  <c r="L387" i="2"/>
  <c r="L395" i="2" s="1"/>
  <c r="J387" i="2"/>
  <c r="I387" i="2"/>
  <c r="I395" i="2" s="1"/>
  <c r="H387" i="2"/>
  <c r="G387" i="2"/>
  <c r="G395" i="2" s="1"/>
  <c r="F387" i="2"/>
  <c r="E387" i="2"/>
  <c r="E395" i="2" s="1"/>
  <c r="D387" i="2"/>
  <c r="C385" i="2"/>
  <c r="T383" i="2"/>
  <c r="S383" i="2"/>
  <c r="R383" i="2"/>
  <c r="Q383" i="2"/>
  <c r="P383" i="2"/>
  <c r="O383" i="2"/>
  <c r="N383" i="2"/>
  <c r="M383" i="2"/>
  <c r="I383" i="2"/>
  <c r="H383" i="2"/>
  <c r="G383" i="2"/>
  <c r="F383" i="2"/>
  <c r="E383" i="2"/>
  <c r="D383" i="2"/>
  <c r="T382" i="2"/>
  <c r="T385" i="2" s="1"/>
  <c r="S382" i="2"/>
  <c r="R382" i="2"/>
  <c r="R385" i="2" s="1"/>
  <c r="Q382" i="2"/>
  <c r="P382" i="2"/>
  <c r="P385" i="2" s="1"/>
  <c r="O382" i="2"/>
  <c r="N382" i="2"/>
  <c r="N385" i="2" s="1"/>
  <c r="M382" i="2"/>
  <c r="L382" i="2"/>
  <c r="L385" i="2" s="1"/>
  <c r="I382" i="2"/>
  <c r="H382" i="2"/>
  <c r="G382" i="2"/>
  <c r="F382" i="2"/>
  <c r="E382" i="2"/>
  <c r="D382" i="2"/>
  <c r="S381" i="2"/>
  <c r="Q381" i="2"/>
  <c r="P381" i="2"/>
  <c r="O381" i="2"/>
  <c r="N381" i="2"/>
  <c r="M381" i="2"/>
  <c r="L381" i="2"/>
  <c r="K381" i="2"/>
  <c r="K385" i="2" s="1"/>
  <c r="J381" i="2"/>
  <c r="I381" i="2"/>
  <c r="H381" i="2"/>
  <c r="G381" i="2"/>
  <c r="E381" i="2"/>
  <c r="D381" i="2"/>
  <c r="T380" i="2"/>
  <c r="S380" i="2"/>
  <c r="S385" i="2" s="1"/>
  <c r="R380" i="2"/>
  <c r="Q380" i="2"/>
  <c r="Q385" i="2" s="1"/>
  <c r="P380" i="2"/>
  <c r="O380" i="2"/>
  <c r="O385" i="2" s="1"/>
  <c r="N380" i="2"/>
  <c r="M380" i="2"/>
  <c r="M385" i="2" s="1"/>
  <c r="L380" i="2"/>
  <c r="J380" i="2"/>
  <c r="J385" i="2" s="1"/>
  <c r="I380" i="2"/>
  <c r="H380" i="2"/>
  <c r="H385" i="2" s="1"/>
  <c r="G380" i="2"/>
  <c r="F380" i="2"/>
  <c r="E380" i="2"/>
  <c r="D380" i="2"/>
  <c r="D385" i="2" s="1"/>
  <c r="R379" i="2"/>
  <c r="I379" i="2"/>
  <c r="I385" i="2" s="1"/>
  <c r="H379" i="2"/>
  <c r="F379" i="2"/>
  <c r="F385" i="2" s="1"/>
  <c r="D379" i="2"/>
  <c r="R373" i="2"/>
  <c r="R374" i="2" s="1"/>
  <c r="N373" i="2"/>
  <c r="N374" i="2" s="1"/>
  <c r="K373" i="2"/>
  <c r="H373" i="2"/>
  <c r="F373" i="2"/>
  <c r="F374" i="2" s="1"/>
  <c r="E373" i="2"/>
  <c r="E374" i="2" s="1"/>
  <c r="C373" i="2"/>
  <c r="C374" i="2" s="1"/>
  <c r="T371" i="2"/>
  <c r="T373" i="2" s="1"/>
  <c r="S371" i="2"/>
  <c r="R371" i="2"/>
  <c r="Q371" i="2"/>
  <c r="Q373" i="2" s="1"/>
  <c r="P371" i="2"/>
  <c r="P373" i="2" s="1"/>
  <c r="O371" i="2"/>
  <c r="N371" i="2"/>
  <c r="M371" i="2"/>
  <c r="L371" i="2"/>
  <c r="L373" i="2" s="1"/>
  <c r="J371" i="2"/>
  <c r="I371" i="2"/>
  <c r="H371" i="2"/>
  <c r="G371" i="2"/>
  <c r="G373" i="2" s="1"/>
  <c r="F371" i="2"/>
  <c r="D371" i="2"/>
  <c r="D373" i="2" s="1"/>
  <c r="T370" i="2"/>
  <c r="S370" i="2"/>
  <c r="S373" i="2" s="1"/>
  <c r="R370" i="2"/>
  <c r="O370" i="2"/>
  <c r="O373" i="2" s="1"/>
  <c r="N370" i="2"/>
  <c r="M370" i="2"/>
  <c r="M373" i="2" s="1"/>
  <c r="L370" i="2"/>
  <c r="J370" i="2"/>
  <c r="J373" i="2" s="1"/>
  <c r="J374" i="2" s="1"/>
  <c r="I370" i="2"/>
  <c r="I373" i="2" s="1"/>
  <c r="H370" i="2"/>
  <c r="D370" i="2"/>
  <c r="R368" i="2"/>
  <c r="N368" i="2"/>
  <c r="J368" i="2"/>
  <c r="F368" i="2"/>
  <c r="C368" i="2"/>
  <c r="T366" i="2"/>
  <c r="S366" i="2"/>
  <c r="R366" i="2"/>
  <c r="Q366" i="2"/>
  <c r="P366" i="2"/>
  <c r="O366" i="2"/>
  <c r="N366" i="2"/>
  <c r="M366" i="2"/>
  <c r="I366" i="2"/>
  <c r="H366" i="2"/>
  <c r="G366" i="2"/>
  <c r="F366" i="2"/>
  <c r="E366" i="2"/>
  <c r="D366" i="2"/>
  <c r="T365" i="2"/>
  <c r="S365" i="2"/>
  <c r="R365" i="2"/>
  <c r="Q365" i="2"/>
  <c r="P365" i="2"/>
  <c r="O365" i="2"/>
  <c r="N365" i="2"/>
  <c r="M365" i="2"/>
  <c r="L365" i="2"/>
  <c r="I365" i="2"/>
  <c r="H365" i="2"/>
  <c r="G365" i="2"/>
  <c r="F365" i="2"/>
  <c r="E365" i="2"/>
  <c r="D365" i="2"/>
  <c r="T364" i="2"/>
  <c r="S364" i="2"/>
  <c r="R364" i="2"/>
  <c r="Q364" i="2"/>
  <c r="P364" i="2"/>
  <c r="O364" i="2"/>
  <c r="N364" i="2"/>
  <c r="M364" i="2"/>
  <c r="L364" i="2"/>
  <c r="J364" i="2"/>
  <c r="I364" i="2"/>
  <c r="H364" i="2"/>
  <c r="G364" i="2"/>
  <c r="E364" i="2"/>
  <c r="T363" i="2"/>
  <c r="R363" i="2"/>
  <c r="P363" i="2"/>
  <c r="N363" i="2"/>
  <c r="M363" i="2"/>
  <c r="L363" i="2"/>
  <c r="K363" i="2"/>
  <c r="H363" i="2"/>
  <c r="G363" i="2"/>
  <c r="F363" i="2"/>
  <c r="E363" i="2"/>
  <c r="D363" i="2"/>
  <c r="D368" i="2" s="1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E361" i="2"/>
  <c r="D361" i="2"/>
  <c r="T360" i="2"/>
  <c r="S360" i="2"/>
  <c r="R360" i="2"/>
  <c r="Q360" i="2"/>
  <c r="P360" i="2"/>
  <c r="O360" i="2"/>
  <c r="N360" i="2"/>
  <c r="M360" i="2"/>
  <c r="L360" i="2"/>
  <c r="K360" i="2"/>
  <c r="K368" i="2" s="1"/>
  <c r="J360" i="2"/>
  <c r="I360" i="2"/>
  <c r="H360" i="2"/>
  <c r="H368" i="2" s="1"/>
  <c r="G360" i="2"/>
  <c r="F360" i="2"/>
  <c r="E360" i="2"/>
  <c r="T359" i="2"/>
  <c r="T368" i="2" s="1"/>
  <c r="S359" i="2"/>
  <c r="S368" i="2" s="1"/>
  <c r="R359" i="2"/>
  <c r="Q359" i="2"/>
  <c r="Q368" i="2" s="1"/>
  <c r="P359" i="2"/>
  <c r="P368" i="2" s="1"/>
  <c r="O359" i="2"/>
  <c r="O368" i="2" s="1"/>
  <c r="N359" i="2"/>
  <c r="M359" i="2"/>
  <c r="M368" i="2" s="1"/>
  <c r="L359" i="2"/>
  <c r="L368" i="2" s="1"/>
  <c r="J359" i="2"/>
  <c r="I359" i="2"/>
  <c r="I368" i="2" s="1"/>
  <c r="H359" i="2"/>
  <c r="G359" i="2"/>
  <c r="G368" i="2" s="1"/>
  <c r="F359" i="2"/>
  <c r="E359" i="2"/>
  <c r="E368" i="2" s="1"/>
  <c r="D359" i="2"/>
  <c r="R357" i="2"/>
  <c r="N357" i="2"/>
  <c r="J357" i="2"/>
  <c r="F357" i="2"/>
  <c r="C357" i="2"/>
  <c r="T355" i="2"/>
  <c r="S355" i="2"/>
  <c r="R355" i="2"/>
  <c r="Q355" i="2"/>
  <c r="P355" i="2"/>
  <c r="O355" i="2"/>
  <c r="N355" i="2"/>
  <c r="M355" i="2"/>
  <c r="I355" i="2"/>
  <c r="H355" i="2"/>
  <c r="G355" i="2"/>
  <c r="F355" i="2"/>
  <c r="E355" i="2"/>
  <c r="D355" i="2"/>
  <c r="T354" i="2"/>
  <c r="S354" i="2"/>
  <c r="R354" i="2"/>
  <c r="Q354" i="2"/>
  <c r="P354" i="2"/>
  <c r="O354" i="2"/>
  <c r="N354" i="2"/>
  <c r="M354" i="2"/>
  <c r="L354" i="2"/>
  <c r="I354" i="2"/>
  <c r="H354" i="2"/>
  <c r="G354" i="2"/>
  <c r="F354" i="2"/>
  <c r="E354" i="2"/>
  <c r="D354" i="2"/>
  <c r="D357" i="2" s="1"/>
  <c r="T353" i="2"/>
  <c r="S353" i="2"/>
  <c r="Q353" i="2"/>
  <c r="P353" i="2"/>
  <c r="N353" i="2"/>
  <c r="M353" i="2"/>
  <c r="K353" i="2"/>
  <c r="J353" i="2"/>
  <c r="I353" i="2"/>
  <c r="H353" i="2"/>
  <c r="G353" i="2"/>
  <c r="T352" i="2"/>
  <c r="S352" i="2"/>
  <c r="R352" i="2"/>
  <c r="Q352" i="2"/>
  <c r="P352" i="2"/>
  <c r="O352" i="2"/>
  <c r="N352" i="2"/>
  <c r="M352" i="2"/>
  <c r="L352" i="2"/>
  <c r="J352" i="2"/>
  <c r="I352" i="2"/>
  <c r="H352" i="2"/>
  <c r="G352" i="2"/>
  <c r="F352" i="2"/>
  <c r="E352" i="2"/>
  <c r="D352" i="2"/>
  <c r="T351" i="2"/>
  <c r="T357" i="2" s="1"/>
  <c r="S351" i="2"/>
  <c r="S357" i="2" s="1"/>
  <c r="R351" i="2"/>
  <c r="Q351" i="2"/>
  <c r="Q357" i="2" s="1"/>
  <c r="P351" i="2"/>
  <c r="P357" i="2" s="1"/>
  <c r="O351" i="2"/>
  <c r="O357" i="2" s="1"/>
  <c r="N351" i="2"/>
  <c r="M351" i="2"/>
  <c r="M357" i="2" s="1"/>
  <c r="L351" i="2"/>
  <c r="L357" i="2" s="1"/>
  <c r="K351" i="2"/>
  <c r="K357" i="2" s="1"/>
  <c r="J351" i="2"/>
  <c r="I351" i="2"/>
  <c r="I357" i="2" s="1"/>
  <c r="H351" i="2"/>
  <c r="H357" i="2" s="1"/>
  <c r="G351" i="2"/>
  <c r="G357" i="2" s="1"/>
  <c r="E351" i="2"/>
  <c r="E357" i="2" s="1"/>
  <c r="D351" i="2"/>
  <c r="T345" i="2"/>
  <c r="R345" i="2"/>
  <c r="P345" i="2"/>
  <c r="N345" i="2"/>
  <c r="L345" i="2"/>
  <c r="H345" i="2"/>
  <c r="F345" i="2"/>
  <c r="C345" i="2"/>
  <c r="Q343" i="2"/>
  <c r="P343" i="2"/>
  <c r="O343" i="2"/>
  <c r="N343" i="2"/>
  <c r="M343" i="2"/>
  <c r="L343" i="2"/>
  <c r="J343" i="2"/>
  <c r="J345" i="2" s="1"/>
  <c r="I343" i="2"/>
  <c r="G343" i="2"/>
  <c r="F343" i="2"/>
  <c r="D343" i="2"/>
  <c r="D345" i="2" s="1"/>
  <c r="T342" i="2"/>
  <c r="S342" i="2"/>
  <c r="S345" i="2" s="1"/>
  <c r="R342" i="2"/>
  <c r="Q342" i="2"/>
  <c r="Q345" i="2" s="1"/>
  <c r="P342" i="2"/>
  <c r="O342" i="2"/>
  <c r="O345" i="2" s="1"/>
  <c r="N342" i="2"/>
  <c r="M342" i="2"/>
  <c r="M345" i="2" s="1"/>
  <c r="L342" i="2"/>
  <c r="K342" i="2"/>
  <c r="K345" i="2" s="1"/>
  <c r="J342" i="2"/>
  <c r="I342" i="2"/>
  <c r="I345" i="2" s="1"/>
  <c r="H342" i="2"/>
  <c r="G342" i="2"/>
  <c r="G345" i="2" s="1"/>
  <c r="F342" i="2"/>
  <c r="E342" i="2"/>
  <c r="E345" i="2" s="1"/>
  <c r="D342" i="2"/>
  <c r="C340" i="2"/>
  <c r="T338" i="2"/>
  <c r="S338" i="2"/>
  <c r="R338" i="2"/>
  <c r="Q338" i="2"/>
  <c r="P338" i="2"/>
  <c r="O338" i="2"/>
  <c r="N338" i="2"/>
  <c r="M338" i="2"/>
  <c r="I338" i="2"/>
  <c r="H338" i="2"/>
  <c r="G338" i="2"/>
  <c r="F338" i="2"/>
  <c r="E338" i="2"/>
  <c r="D338" i="2"/>
  <c r="T337" i="2"/>
  <c r="T340" i="2" s="1"/>
  <c r="S337" i="2"/>
  <c r="R337" i="2"/>
  <c r="Q337" i="2"/>
  <c r="P337" i="2"/>
  <c r="P340" i="2" s="1"/>
  <c r="O337" i="2"/>
  <c r="N337" i="2"/>
  <c r="M337" i="2"/>
  <c r="L337" i="2"/>
  <c r="I337" i="2"/>
  <c r="H337" i="2"/>
  <c r="G337" i="2"/>
  <c r="F337" i="2"/>
  <c r="E337" i="2"/>
  <c r="D337" i="2"/>
  <c r="T336" i="2"/>
  <c r="S336" i="2"/>
  <c r="R336" i="2"/>
  <c r="Q336" i="2"/>
  <c r="P336" i="2"/>
  <c r="O336" i="2"/>
  <c r="N336" i="2"/>
  <c r="M336" i="2"/>
  <c r="L336" i="2"/>
  <c r="J336" i="2"/>
  <c r="I336" i="2"/>
  <c r="H336" i="2"/>
  <c r="G336" i="2"/>
  <c r="F336" i="2"/>
  <c r="E336" i="2"/>
  <c r="D336" i="2"/>
  <c r="T335" i="2"/>
  <c r="R335" i="2"/>
  <c r="R340" i="2" s="1"/>
  <c r="R346" i="2" s="1"/>
  <c r="P335" i="2"/>
  <c r="N335" i="2"/>
  <c r="N340" i="2" s="1"/>
  <c r="N346" i="2" s="1"/>
  <c r="M335" i="2"/>
  <c r="L335" i="2"/>
  <c r="L340" i="2" s="1"/>
  <c r="K335" i="2"/>
  <c r="K340" i="2" s="1"/>
  <c r="H335" i="2"/>
  <c r="G335" i="2"/>
  <c r="F335" i="2"/>
  <c r="E335" i="2"/>
  <c r="D335" i="2"/>
  <c r="T334" i="2"/>
  <c r="S334" i="2"/>
  <c r="R334" i="2"/>
  <c r="Q334" i="2"/>
  <c r="P334" i="2"/>
  <c r="O334" i="2"/>
  <c r="N334" i="2"/>
  <c r="M334" i="2"/>
  <c r="L334" i="2"/>
  <c r="J334" i="2"/>
  <c r="I334" i="2"/>
  <c r="H334" i="2"/>
  <c r="T333" i="2"/>
  <c r="S333" i="2"/>
  <c r="R333" i="2"/>
  <c r="Q333" i="2"/>
  <c r="P333" i="2"/>
  <c r="O333" i="2"/>
  <c r="N333" i="2"/>
  <c r="M333" i="2"/>
  <c r="L333" i="2"/>
  <c r="J333" i="2"/>
  <c r="I333" i="2"/>
  <c r="H333" i="2"/>
  <c r="G333" i="2"/>
  <c r="F333" i="2"/>
  <c r="E333" i="2"/>
  <c r="D333" i="2"/>
  <c r="T332" i="2"/>
  <c r="S332" i="2"/>
  <c r="S340" i="2" s="1"/>
  <c r="R332" i="2"/>
  <c r="Q332" i="2"/>
  <c r="Q340" i="2" s="1"/>
  <c r="P332" i="2"/>
  <c r="O332" i="2"/>
  <c r="O340" i="2" s="1"/>
  <c r="N332" i="2"/>
  <c r="M332" i="2"/>
  <c r="M340" i="2" s="1"/>
  <c r="L332" i="2"/>
  <c r="J332" i="2"/>
  <c r="J340" i="2" s="1"/>
  <c r="I332" i="2"/>
  <c r="H332" i="2"/>
  <c r="H340" i="2" s="1"/>
  <c r="G332" i="2"/>
  <c r="F332" i="2"/>
  <c r="F340" i="2" s="1"/>
  <c r="F346" i="2" s="1"/>
  <c r="E332" i="2"/>
  <c r="D332" i="2"/>
  <c r="D340" i="2" s="1"/>
  <c r="Q330" i="2"/>
  <c r="M330" i="2"/>
  <c r="I330" i="2"/>
  <c r="E330" i="2"/>
  <c r="C330" i="2"/>
  <c r="T328" i="2"/>
  <c r="S328" i="2"/>
  <c r="R328" i="2"/>
  <c r="Q328" i="2"/>
  <c r="P328" i="2"/>
  <c r="O328" i="2"/>
  <c r="N328" i="2"/>
  <c r="M328" i="2"/>
  <c r="I328" i="2"/>
  <c r="H328" i="2"/>
  <c r="G328" i="2"/>
  <c r="E328" i="2"/>
  <c r="D328" i="2"/>
  <c r="T327" i="2"/>
  <c r="S327" i="2"/>
  <c r="R327" i="2"/>
  <c r="Q327" i="2"/>
  <c r="P327" i="2"/>
  <c r="O327" i="2"/>
  <c r="N327" i="2"/>
  <c r="M327" i="2"/>
  <c r="L327" i="2"/>
  <c r="I327" i="2"/>
  <c r="H327" i="2"/>
  <c r="G327" i="2"/>
  <c r="F327" i="2"/>
  <c r="E327" i="2"/>
  <c r="D327" i="2"/>
  <c r="S326" i="2"/>
  <c r="Q326" i="2"/>
  <c r="P326" i="2"/>
  <c r="O326" i="2"/>
  <c r="N326" i="2"/>
  <c r="M326" i="2"/>
  <c r="L326" i="2"/>
  <c r="K326" i="2"/>
  <c r="J326" i="2"/>
  <c r="I326" i="2"/>
  <c r="H326" i="2"/>
  <c r="G326" i="2"/>
  <c r="E326" i="2"/>
  <c r="D326" i="2"/>
  <c r="T325" i="2"/>
  <c r="S325" i="2"/>
  <c r="R325" i="2"/>
  <c r="Q325" i="2"/>
  <c r="P325" i="2"/>
  <c r="O325" i="2"/>
  <c r="N325" i="2"/>
  <c r="M325" i="2"/>
  <c r="L325" i="2"/>
  <c r="J325" i="2"/>
  <c r="I325" i="2"/>
  <c r="H325" i="2"/>
  <c r="E325" i="2"/>
  <c r="D325" i="2"/>
  <c r="T324" i="2"/>
  <c r="T330" i="2" s="1"/>
  <c r="S324" i="2"/>
  <c r="S330" i="2" s="1"/>
  <c r="R324" i="2"/>
  <c r="R330" i="2" s="1"/>
  <c r="Q324" i="2"/>
  <c r="P324" i="2"/>
  <c r="P330" i="2" s="1"/>
  <c r="O324" i="2"/>
  <c r="O330" i="2" s="1"/>
  <c r="N324" i="2"/>
  <c r="N330" i="2" s="1"/>
  <c r="M324" i="2"/>
  <c r="L324" i="2"/>
  <c r="L330" i="2" s="1"/>
  <c r="K324" i="2"/>
  <c r="K330" i="2" s="1"/>
  <c r="J324" i="2"/>
  <c r="J330" i="2" s="1"/>
  <c r="I324" i="2"/>
  <c r="H324" i="2"/>
  <c r="H330" i="2" s="1"/>
  <c r="G324" i="2"/>
  <c r="G330" i="2" s="1"/>
  <c r="F324" i="2"/>
  <c r="F330" i="2" s="1"/>
  <c r="D324" i="2"/>
  <c r="D330" i="2" s="1"/>
  <c r="Q318" i="2"/>
  <c r="M318" i="2"/>
  <c r="K318" i="2"/>
  <c r="I318" i="2"/>
  <c r="E318" i="2"/>
  <c r="C318" i="2"/>
  <c r="T316" i="2"/>
  <c r="Q316" i="2"/>
  <c r="O316" i="2"/>
  <c r="N316" i="2"/>
  <c r="L316" i="2"/>
  <c r="I316" i="2"/>
  <c r="H316" i="2"/>
  <c r="G316" i="2"/>
  <c r="G318" i="2" s="1"/>
  <c r="F316" i="2"/>
  <c r="E316" i="2"/>
  <c r="T315" i="2"/>
  <c r="T318" i="2" s="1"/>
  <c r="S315" i="2"/>
  <c r="S318" i="2" s="1"/>
  <c r="R315" i="2"/>
  <c r="R318" i="2" s="1"/>
  <c r="R319" i="2" s="1"/>
  <c r="Q315" i="2"/>
  <c r="P315" i="2"/>
  <c r="P318" i="2" s="1"/>
  <c r="P319" i="2" s="1"/>
  <c r="O315" i="2"/>
  <c r="O318" i="2" s="1"/>
  <c r="N315" i="2"/>
  <c r="N318" i="2" s="1"/>
  <c r="N319" i="2" s="1"/>
  <c r="M315" i="2"/>
  <c r="L315" i="2"/>
  <c r="L318" i="2" s="1"/>
  <c r="L319" i="2" s="1"/>
  <c r="J315" i="2"/>
  <c r="J318" i="2" s="1"/>
  <c r="I315" i="2"/>
  <c r="H315" i="2"/>
  <c r="H318" i="2" s="1"/>
  <c r="G315" i="2"/>
  <c r="F315" i="2"/>
  <c r="F318" i="2" s="1"/>
  <c r="E315" i="2"/>
  <c r="D315" i="2"/>
  <c r="D318" i="2" s="1"/>
  <c r="K313" i="2"/>
  <c r="K319" i="2" s="1"/>
  <c r="C313" i="2"/>
  <c r="C319" i="2" s="1"/>
  <c r="T311" i="2"/>
  <c r="S311" i="2"/>
  <c r="R311" i="2"/>
  <c r="Q311" i="2"/>
  <c r="P311" i="2"/>
  <c r="O311" i="2"/>
  <c r="N311" i="2"/>
  <c r="M311" i="2"/>
  <c r="I311" i="2"/>
  <c r="H311" i="2"/>
  <c r="G311" i="2"/>
  <c r="F311" i="2"/>
  <c r="E311" i="2"/>
  <c r="D311" i="2"/>
  <c r="T310" i="2"/>
  <c r="S310" i="2"/>
  <c r="R310" i="2"/>
  <c r="Q310" i="2"/>
  <c r="P310" i="2"/>
  <c r="O310" i="2"/>
  <c r="N310" i="2"/>
  <c r="M310" i="2"/>
  <c r="L310" i="2"/>
  <c r="I310" i="2"/>
  <c r="I313" i="2" s="1"/>
  <c r="H310" i="2"/>
  <c r="G310" i="2"/>
  <c r="F310" i="2"/>
  <c r="E310" i="2"/>
  <c r="E313" i="2" s="1"/>
  <c r="D310" i="2"/>
  <c r="T309" i="2"/>
  <c r="S309" i="2"/>
  <c r="Q309" i="2"/>
  <c r="P309" i="2"/>
  <c r="O309" i="2"/>
  <c r="N309" i="2"/>
  <c r="M309" i="2"/>
  <c r="L309" i="2"/>
  <c r="J309" i="2"/>
  <c r="I309" i="2"/>
  <c r="G309" i="2"/>
  <c r="G313" i="2" s="1"/>
  <c r="D309" i="2"/>
  <c r="D308" i="2"/>
  <c r="T307" i="2"/>
  <c r="S307" i="2"/>
  <c r="R307" i="2"/>
  <c r="Q307" i="2"/>
  <c r="P307" i="2"/>
  <c r="O307" i="2"/>
  <c r="N307" i="2"/>
  <c r="M307" i="2"/>
  <c r="L307" i="2"/>
  <c r="J307" i="2"/>
  <c r="I307" i="2"/>
  <c r="H307" i="2"/>
  <c r="G307" i="2"/>
  <c r="F307" i="2"/>
  <c r="E307" i="2"/>
  <c r="D307" i="2"/>
  <c r="T306" i="2"/>
  <c r="S306" i="2"/>
  <c r="S313" i="2" s="1"/>
  <c r="R306" i="2"/>
  <c r="R313" i="2" s="1"/>
  <c r="Q306" i="2"/>
  <c r="Q313" i="2" s="1"/>
  <c r="P306" i="2"/>
  <c r="P313" i="2" s="1"/>
  <c r="O306" i="2"/>
  <c r="O313" i="2" s="1"/>
  <c r="N306" i="2"/>
  <c r="N313" i="2" s="1"/>
  <c r="M306" i="2"/>
  <c r="M313" i="2" s="1"/>
  <c r="L306" i="2"/>
  <c r="L313" i="2" s="1"/>
  <c r="J306" i="2"/>
  <c r="J313" i="2" s="1"/>
  <c r="I306" i="2"/>
  <c r="H306" i="2"/>
  <c r="H313" i="2" s="1"/>
  <c r="G306" i="2"/>
  <c r="F306" i="2"/>
  <c r="F313" i="2" s="1"/>
  <c r="E306" i="2"/>
  <c r="D306" i="2"/>
  <c r="D313" i="2" s="1"/>
  <c r="Q304" i="2"/>
  <c r="M304" i="2"/>
  <c r="K304" i="2"/>
  <c r="I304" i="2"/>
  <c r="E304" i="2"/>
  <c r="C304" i="2"/>
  <c r="T302" i="2"/>
  <c r="S302" i="2"/>
  <c r="R302" i="2"/>
  <c r="Q302" i="2"/>
  <c r="P302" i="2"/>
  <c r="O302" i="2"/>
  <c r="O304" i="2" s="1"/>
  <c r="N302" i="2"/>
  <c r="M302" i="2"/>
  <c r="I302" i="2"/>
  <c r="H302" i="2"/>
  <c r="G302" i="2"/>
  <c r="F302" i="2"/>
  <c r="E302" i="2"/>
  <c r="T301" i="2"/>
  <c r="S301" i="2"/>
  <c r="R301" i="2"/>
  <c r="Q301" i="2"/>
  <c r="P301" i="2"/>
  <c r="O301" i="2"/>
  <c r="N301" i="2"/>
  <c r="M301" i="2"/>
  <c r="L301" i="2"/>
  <c r="I301" i="2"/>
  <c r="H301" i="2"/>
  <c r="G301" i="2"/>
  <c r="F301" i="2"/>
  <c r="E301" i="2"/>
  <c r="D301" i="2"/>
  <c r="T300" i="2"/>
  <c r="S300" i="2"/>
  <c r="S304" i="2" s="1"/>
  <c r="Q300" i="2"/>
  <c r="P300" i="2"/>
  <c r="N300" i="2"/>
  <c r="M300" i="2"/>
  <c r="K300" i="2"/>
  <c r="J300" i="2"/>
  <c r="I300" i="2"/>
  <c r="H300" i="2"/>
  <c r="G300" i="2"/>
  <c r="F300" i="2"/>
  <c r="F304" i="2" s="1"/>
  <c r="D300" i="2"/>
  <c r="D304" i="2" s="1"/>
  <c r="T299" i="2"/>
  <c r="S299" i="2"/>
  <c r="R299" i="2"/>
  <c r="Q299" i="2"/>
  <c r="P299" i="2"/>
  <c r="O299" i="2"/>
  <c r="N299" i="2"/>
  <c r="M299" i="2"/>
  <c r="L299" i="2"/>
  <c r="J299" i="2"/>
  <c r="I299" i="2"/>
  <c r="H299" i="2"/>
  <c r="G299" i="2"/>
  <c r="G304" i="2" s="1"/>
  <c r="E299" i="2"/>
  <c r="T298" i="2"/>
  <c r="T304" i="2" s="1"/>
  <c r="S298" i="2"/>
  <c r="R298" i="2"/>
  <c r="R304" i="2" s="1"/>
  <c r="Q298" i="2"/>
  <c r="P298" i="2"/>
  <c r="P304" i="2" s="1"/>
  <c r="O298" i="2"/>
  <c r="N298" i="2"/>
  <c r="N304" i="2" s="1"/>
  <c r="M298" i="2"/>
  <c r="L298" i="2"/>
  <c r="L304" i="2" s="1"/>
  <c r="K298" i="2"/>
  <c r="J298" i="2"/>
  <c r="J304" i="2" s="1"/>
  <c r="I298" i="2"/>
  <c r="H298" i="2"/>
  <c r="H304" i="2" s="1"/>
  <c r="G298" i="2"/>
  <c r="T285" i="2"/>
  <c r="R285" i="2"/>
  <c r="P285" i="2"/>
  <c r="L285" i="2"/>
  <c r="K285" i="2"/>
  <c r="J285" i="2"/>
  <c r="H285" i="2"/>
  <c r="F285" i="2"/>
  <c r="D285" i="2"/>
  <c r="C285" i="2"/>
  <c r="Q283" i="2"/>
  <c r="Q285" i="2" s="1"/>
  <c r="P283" i="2"/>
  <c r="O283" i="2"/>
  <c r="N283" i="2"/>
  <c r="M283" i="2"/>
  <c r="J283" i="2"/>
  <c r="I283" i="2"/>
  <c r="I285" i="2" s="1"/>
  <c r="G283" i="2"/>
  <c r="S282" i="2"/>
  <c r="S285" i="2" s="1"/>
  <c r="R282" i="2"/>
  <c r="P282" i="2"/>
  <c r="O282" i="2"/>
  <c r="O285" i="2" s="1"/>
  <c r="N282" i="2"/>
  <c r="N285" i="2" s="1"/>
  <c r="M282" i="2"/>
  <c r="M285" i="2" s="1"/>
  <c r="G282" i="2"/>
  <c r="G285" i="2" s="1"/>
  <c r="F282" i="2"/>
  <c r="E282" i="2"/>
  <c r="E285" i="2" s="1"/>
  <c r="C280" i="2"/>
  <c r="T278" i="2"/>
  <c r="S278" i="2"/>
  <c r="R278" i="2"/>
  <c r="Q278" i="2"/>
  <c r="P278" i="2"/>
  <c r="O278" i="2"/>
  <c r="N278" i="2"/>
  <c r="M278" i="2"/>
  <c r="I278" i="2"/>
  <c r="H278" i="2"/>
  <c r="G278" i="2"/>
  <c r="F278" i="2"/>
  <c r="E278" i="2"/>
  <c r="D278" i="2"/>
  <c r="T277" i="2"/>
  <c r="S277" i="2"/>
  <c r="R277" i="2"/>
  <c r="Q277" i="2"/>
  <c r="P277" i="2"/>
  <c r="O277" i="2"/>
  <c r="N277" i="2"/>
  <c r="M277" i="2"/>
  <c r="L277" i="2"/>
  <c r="I277" i="2"/>
  <c r="H277" i="2"/>
  <c r="G277" i="2"/>
  <c r="F277" i="2"/>
  <c r="E277" i="2"/>
  <c r="D277" i="2"/>
  <c r="T275" i="2"/>
  <c r="R275" i="2"/>
  <c r="P275" i="2"/>
  <c r="N275" i="2"/>
  <c r="M275" i="2"/>
  <c r="L275" i="2"/>
  <c r="K275" i="2"/>
  <c r="H275" i="2"/>
  <c r="G275" i="2"/>
  <c r="F275" i="2"/>
  <c r="E275" i="2"/>
  <c r="D275" i="2"/>
  <c r="G274" i="2"/>
  <c r="F274" i="2"/>
  <c r="T273" i="2"/>
  <c r="R273" i="2"/>
  <c r="O273" i="2"/>
  <c r="N273" i="2"/>
  <c r="M273" i="2"/>
  <c r="I273" i="2"/>
  <c r="H273" i="2"/>
  <c r="G273" i="2"/>
  <c r="F273" i="2"/>
  <c r="E273" i="2"/>
  <c r="D273" i="2"/>
  <c r="T272" i="2"/>
  <c r="S272" i="2"/>
  <c r="R272" i="2"/>
  <c r="Q272" i="2"/>
  <c r="P272" i="2"/>
  <c r="O272" i="2"/>
  <c r="N272" i="2"/>
  <c r="M272" i="2"/>
  <c r="L272" i="2"/>
  <c r="J272" i="2"/>
  <c r="I272" i="2"/>
  <c r="H272" i="2"/>
  <c r="G272" i="2"/>
  <c r="F272" i="2"/>
  <c r="E272" i="2"/>
  <c r="D272" i="2"/>
  <c r="T271" i="2"/>
  <c r="S271" i="2"/>
  <c r="S280" i="2" s="1"/>
  <c r="R271" i="2"/>
  <c r="R280" i="2" s="1"/>
  <c r="Q271" i="2"/>
  <c r="Q280" i="2" s="1"/>
  <c r="P271" i="2"/>
  <c r="O271" i="2"/>
  <c r="O280" i="2" s="1"/>
  <c r="N271" i="2"/>
  <c r="N280" i="2" s="1"/>
  <c r="M271" i="2"/>
  <c r="M280" i="2" s="1"/>
  <c r="L271" i="2"/>
  <c r="L280" i="2" s="1"/>
  <c r="K271" i="2"/>
  <c r="K280" i="2" s="1"/>
  <c r="J271" i="2"/>
  <c r="I271" i="2"/>
  <c r="I280" i="2" s="1"/>
  <c r="H271" i="2"/>
  <c r="G271" i="2"/>
  <c r="G280" i="2" s="1"/>
  <c r="F271" i="2"/>
  <c r="E271" i="2"/>
  <c r="E280" i="2" s="1"/>
  <c r="D271" i="2"/>
  <c r="J269" i="2"/>
  <c r="C269" i="2"/>
  <c r="T267" i="2"/>
  <c r="S267" i="2"/>
  <c r="R267" i="2"/>
  <c r="Q267" i="2"/>
  <c r="P267" i="2"/>
  <c r="O267" i="2"/>
  <c r="N267" i="2"/>
  <c r="M267" i="2"/>
  <c r="I267" i="2"/>
  <c r="H267" i="2"/>
  <c r="G267" i="2"/>
  <c r="F267" i="2"/>
  <c r="E267" i="2"/>
  <c r="D267" i="2"/>
  <c r="T266" i="2"/>
  <c r="S266" i="2"/>
  <c r="R266" i="2"/>
  <c r="Q266" i="2"/>
  <c r="P266" i="2"/>
  <c r="O266" i="2"/>
  <c r="N266" i="2"/>
  <c r="M266" i="2"/>
  <c r="L266" i="2"/>
  <c r="I266" i="2"/>
  <c r="H266" i="2"/>
  <c r="H269" i="2" s="1"/>
  <c r="G266" i="2"/>
  <c r="F266" i="2"/>
  <c r="F269" i="2" s="1"/>
  <c r="E266" i="2"/>
  <c r="D266" i="2"/>
  <c r="D269" i="2" s="1"/>
  <c r="S265" i="2"/>
  <c r="Q265" i="2"/>
  <c r="P265" i="2"/>
  <c r="O265" i="2"/>
  <c r="N265" i="2"/>
  <c r="M265" i="2"/>
  <c r="L265" i="2"/>
  <c r="K265" i="2"/>
  <c r="J265" i="2"/>
  <c r="I265" i="2"/>
  <c r="H265" i="2"/>
  <c r="G265" i="2"/>
  <c r="E265" i="2"/>
  <c r="T264" i="2"/>
  <c r="T269" i="2" s="1"/>
  <c r="S264" i="2"/>
  <c r="R264" i="2"/>
  <c r="R269" i="2" s="1"/>
  <c r="R286" i="2" s="1"/>
  <c r="Q264" i="2"/>
  <c r="P264" i="2"/>
  <c r="P269" i="2" s="1"/>
  <c r="O264" i="2"/>
  <c r="N264" i="2"/>
  <c r="N269" i="2" s="1"/>
  <c r="M264" i="2"/>
  <c r="L264" i="2"/>
  <c r="L269" i="2" s="1"/>
  <c r="J264" i="2"/>
  <c r="I264" i="2"/>
  <c r="H264" i="2"/>
  <c r="G264" i="2"/>
  <c r="F264" i="2"/>
  <c r="E264" i="2"/>
  <c r="T263" i="2"/>
  <c r="S263" i="2"/>
  <c r="S269" i="2" s="1"/>
  <c r="R263" i="2"/>
  <c r="Q263" i="2"/>
  <c r="Q269" i="2" s="1"/>
  <c r="P263" i="2"/>
  <c r="O263" i="2"/>
  <c r="O269" i="2" s="1"/>
  <c r="N263" i="2"/>
  <c r="M263" i="2"/>
  <c r="M269" i="2" s="1"/>
  <c r="L263" i="2"/>
  <c r="K263" i="2"/>
  <c r="K269" i="2" s="1"/>
  <c r="J263" i="2"/>
  <c r="I263" i="2"/>
  <c r="I269" i="2" s="1"/>
  <c r="H263" i="2"/>
  <c r="G263" i="2"/>
  <c r="G269" i="2" s="1"/>
  <c r="F263" i="2"/>
  <c r="E263" i="2"/>
  <c r="E269" i="2" s="1"/>
  <c r="D263" i="2"/>
  <c r="T257" i="2"/>
  <c r="R257" i="2"/>
  <c r="R258" i="2" s="1"/>
  <c r="E257" i="2"/>
  <c r="D257" i="2"/>
  <c r="C257" i="2"/>
  <c r="S255" i="2"/>
  <c r="S257" i="2" s="1"/>
  <c r="R255" i="2"/>
  <c r="P255" i="2"/>
  <c r="P257" i="2" s="1"/>
  <c r="O255" i="2"/>
  <c r="N255" i="2"/>
  <c r="N257" i="2" s="1"/>
  <c r="N258" i="2" s="1"/>
  <c r="M255" i="2"/>
  <c r="M257" i="2" s="1"/>
  <c r="L255" i="2"/>
  <c r="J255" i="2"/>
  <c r="I255" i="2"/>
  <c r="G255" i="2"/>
  <c r="G257" i="2" s="1"/>
  <c r="F255" i="2"/>
  <c r="F257" i="2" s="1"/>
  <c r="F258" i="2" s="1"/>
  <c r="Q254" i="2"/>
  <c r="Q257" i="2" s="1"/>
  <c r="O254" i="2"/>
  <c r="O257" i="2" s="1"/>
  <c r="N254" i="2"/>
  <c r="L254" i="2"/>
  <c r="L257" i="2" s="1"/>
  <c r="L258" i="2" s="1"/>
  <c r="K254" i="2"/>
  <c r="K257" i="2" s="1"/>
  <c r="J254" i="2"/>
  <c r="J257" i="2" s="1"/>
  <c r="J258" i="2" s="1"/>
  <c r="I254" i="2"/>
  <c r="H254" i="2"/>
  <c r="H257" i="2" s="1"/>
  <c r="H258" i="2" s="1"/>
  <c r="Q252" i="2"/>
  <c r="M252" i="2"/>
  <c r="I252" i="2"/>
  <c r="E252" i="2"/>
  <c r="C252" i="2"/>
  <c r="T250" i="2"/>
  <c r="S250" i="2"/>
  <c r="R250" i="2"/>
  <c r="Q250" i="2"/>
  <c r="P250" i="2"/>
  <c r="O250" i="2"/>
  <c r="N250" i="2"/>
  <c r="M250" i="2"/>
  <c r="I250" i="2"/>
  <c r="H250" i="2"/>
  <c r="G250" i="2"/>
  <c r="F250" i="2"/>
  <c r="E250" i="2"/>
  <c r="D250" i="2"/>
  <c r="T249" i="2"/>
  <c r="S249" i="2"/>
  <c r="R249" i="2"/>
  <c r="Q249" i="2"/>
  <c r="P249" i="2"/>
  <c r="O249" i="2"/>
  <c r="N249" i="2"/>
  <c r="M249" i="2"/>
  <c r="L249" i="2"/>
  <c r="I249" i="2"/>
  <c r="H249" i="2"/>
  <c r="F249" i="2"/>
  <c r="E249" i="2"/>
  <c r="D249" i="2"/>
  <c r="Q248" i="2"/>
  <c r="P248" i="2"/>
  <c r="O248" i="2"/>
  <c r="N248" i="2"/>
  <c r="M248" i="2"/>
  <c r="L248" i="2"/>
  <c r="J248" i="2"/>
  <c r="G248" i="2"/>
  <c r="F248" i="2"/>
  <c r="D248" i="2"/>
  <c r="T247" i="2"/>
  <c r="R247" i="2"/>
  <c r="P247" i="2"/>
  <c r="N247" i="2"/>
  <c r="M247" i="2"/>
  <c r="L247" i="2"/>
  <c r="K247" i="2"/>
  <c r="H247" i="2"/>
  <c r="G247" i="2"/>
  <c r="F247" i="2"/>
  <c r="E247" i="2"/>
  <c r="D247" i="2"/>
  <c r="T246" i="2"/>
  <c r="S246" i="2"/>
  <c r="S252" i="2" s="1"/>
  <c r="R246" i="2"/>
  <c r="Q246" i="2"/>
  <c r="P246" i="2"/>
  <c r="O246" i="2"/>
  <c r="O252" i="2" s="1"/>
  <c r="N246" i="2"/>
  <c r="M246" i="2"/>
  <c r="L246" i="2"/>
  <c r="K246" i="2"/>
  <c r="J246" i="2"/>
  <c r="I246" i="2"/>
  <c r="H246" i="2"/>
  <c r="G246" i="2"/>
  <c r="F246" i="2"/>
  <c r="E246" i="2"/>
  <c r="D246" i="2"/>
  <c r="T245" i="2"/>
  <c r="S245" i="2"/>
  <c r="R245" i="2"/>
  <c r="Q245" i="2"/>
  <c r="P245" i="2"/>
  <c r="O245" i="2"/>
  <c r="N245" i="2"/>
  <c r="M245" i="2"/>
  <c r="K245" i="2"/>
  <c r="J245" i="2"/>
  <c r="I245" i="2"/>
  <c r="H245" i="2"/>
  <c r="D245" i="2"/>
  <c r="P244" i="2"/>
  <c r="M244" i="2"/>
  <c r="L244" i="2"/>
  <c r="K244" i="2"/>
  <c r="K252" i="2" s="1"/>
  <c r="J244" i="2"/>
  <c r="I244" i="2"/>
  <c r="H244" i="2"/>
  <c r="G244" i="2"/>
  <c r="F244" i="2"/>
  <c r="E244" i="2"/>
  <c r="D244" i="2"/>
  <c r="T243" i="2"/>
  <c r="T252" i="2" s="1"/>
  <c r="S243" i="2"/>
  <c r="R243" i="2"/>
  <c r="R252" i="2" s="1"/>
  <c r="Q243" i="2"/>
  <c r="P243" i="2"/>
  <c r="P252" i="2" s="1"/>
  <c r="O243" i="2"/>
  <c r="N243" i="2"/>
  <c r="N252" i="2" s="1"/>
  <c r="M243" i="2"/>
  <c r="L243" i="2"/>
  <c r="L252" i="2" s="1"/>
  <c r="J243" i="2"/>
  <c r="J252" i="2" s="1"/>
  <c r="I243" i="2"/>
  <c r="H243" i="2"/>
  <c r="H252" i="2" s="1"/>
  <c r="G243" i="2"/>
  <c r="G252" i="2" s="1"/>
  <c r="F243" i="2"/>
  <c r="F252" i="2" s="1"/>
  <c r="E243" i="2"/>
  <c r="D243" i="2"/>
  <c r="D252" i="2" s="1"/>
  <c r="R241" i="2"/>
  <c r="N241" i="2"/>
  <c r="L241" i="2"/>
  <c r="J241" i="2"/>
  <c r="H241" i="2"/>
  <c r="F241" i="2"/>
  <c r="C241" i="2"/>
  <c r="T239" i="2"/>
  <c r="S239" i="2"/>
  <c r="R239" i="2"/>
  <c r="Q239" i="2"/>
  <c r="P239" i="2"/>
  <c r="P241" i="2" s="1"/>
  <c r="O239" i="2"/>
  <c r="N239" i="2"/>
  <c r="M239" i="2"/>
  <c r="I239" i="2"/>
  <c r="H239" i="2"/>
  <c r="G239" i="2"/>
  <c r="F239" i="2"/>
  <c r="E239" i="2"/>
  <c r="T238" i="2"/>
  <c r="S238" i="2"/>
  <c r="R238" i="2"/>
  <c r="Q238" i="2"/>
  <c r="P238" i="2"/>
  <c r="O238" i="2"/>
  <c r="N238" i="2"/>
  <c r="M238" i="2"/>
  <c r="L238" i="2"/>
  <c r="I238" i="2"/>
  <c r="H238" i="2"/>
  <c r="G238" i="2"/>
  <c r="F238" i="2"/>
  <c r="E238" i="2"/>
  <c r="D238" i="2"/>
  <c r="T237" i="2"/>
  <c r="T241" i="2" s="1"/>
  <c r="T258" i="2" s="1"/>
  <c r="S237" i="2"/>
  <c r="Q237" i="2"/>
  <c r="P237" i="2"/>
  <c r="N237" i="2"/>
  <c r="M237" i="2"/>
  <c r="K237" i="2"/>
  <c r="J237" i="2"/>
  <c r="I237" i="2"/>
  <c r="H237" i="2"/>
  <c r="G237" i="2"/>
  <c r="F237" i="2"/>
  <c r="E237" i="2"/>
  <c r="E241" i="2" s="1"/>
  <c r="D237" i="2"/>
  <c r="Q236" i="2"/>
  <c r="P236" i="2"/>
  <c r="O236" i="2"/>
  <c r="N236" i="2"/>
  <c r="M236" i="2"/>
  <c r="L236" i="2"/>
  <c r="J236" i="2"/>
  <c r="I236" i="2"/>
  <c r="G236" i="2"/>
  <c r="G241" i="2" s="1"/>
  <c r="F236" i="2"/>
  <c r="D236" i="2"/>
  <c r="D241" i="2" s="1"/>
  <c r="T235" i="2"/>
  <c r="S235" i="2"/>
  <c r="S241" i="2" s="1"/>
  <c r="R235" i="2"/>
  <c r="Q235" i="2"/>
  <c r="Q241" i="2" s="1"/>
  <c r="P235" i="2"/>
  <c r="O235" i="2"/>
  <c r="O241" i="2" s="1"/>
  <c r="N235" i="2"/>
  <c r="M235" i="2"/>
  <c r="M241" i="2" s="1"/>
  <c r="L235" i="2"/>
  <c r="K235" i="2"/>
  <c r="K241" i="2" s="1"/>
  <c r="J235" i="2"/>
  <c r="I235" i="2"/>
  <c r="I241" i="2" s="1"/>
  <c r="H235" i="2"/>
  <c r="F235" i="2"/>
  <c r="D235" i="2"/>
  <c r="T229" i="2"/>
  <c r="R229" i="2"/>
  <c r="P229" i="2"/>
  <c r="P230" i="2" s="1"/>
  <c r="L229" i="2"/>
  <c r="K229" i="2"/>
  <c r="J229" i="2"/>
  <c r="J230" i="2" s="1"/>
  <c r="H229" i="2"/>
  <c r="H230" i="2" s="1"/>
  <c r="F229" i="2"/>
  <c r="F230" i="2" s="1"/>
  <c r="C229" i="2"/>
  <c r="Q227" i="2"/>
  <c r="P227" i="2"/>
  <c r="O227" i="2"/>
  <c r="N227" i="2"/>
  <c r="M227" i="2"/>
  <c r="L227" i="2"/>
  <c r="J227" i="2"/>
  <c r="I227" i="2"/>
  <c r="G227" i="2"/>
  <c r="G229" i="2" s="1"/>
  <c r="F227" i="2"/>
  <c r="D227" i="2"/>
  <c r="D229" i="2" s="1"/>
  <c r="D230" i="2" s="1"/>
  <c r="T226" i="2"/>
  <c r="S226" i="2"/>
  <c r="S229" i="2" s="1"/>
  <c r="R226" i="2"/>
  <c r="Q226" i="2"/>
  <c r="Q229" i="2" s="1"/>
  <c r="O226" i="2"/>
  <c r="O229" i="2" s="1"/>
  <c r="N226" i="2"/>
  <c r="N229" i="2" s="1"/>
  <c r="M226" i="2"/>
  <c r="M229" i="2" s="1"/>
  <c r="L226" i="2"/>
  <c r="J226" i="2"/>
  <c r="I226" i="2"/>
  <c r="I229" i="2" s="1"/>
  <c r="H226" i="2"/>
  <c r="E226" i="2"/>
  <c r="E229" i="2" s="1"/>
  <c r="K224" i="2"/>
  <c r="C224" i="2"/>
  <c r="T222" i="2"/>
  <c r="S222" i="2"/>
  <c r="R222" i="2"/>
  <c r="Q222" i="2"/>
  <c r="P222" i="2"/>
  <c r="O222" i="2"/>
  <c r="N222" i="2"/>
  <c r="M222" i="2"/>
  <c r="I222" i="2"/>
  <c r="H222" i="2"/>
  <c r="G222" i="2"/>
  <c r="F222" i="2"/>
  <c r="E222" i="2"/>
  <c r="D222" i="2"/>
  <c r="T221" i="2"/>
  <c r="S221" i="2"/>
  <c r="R221" i="2"/>
  <c r="Q221" i="2"/>
  <c r="P221" i="2"/>
  <c r="O221" i="2"/>
  <c r="N221" i="2"/>
  <c r="M221" i="2"/>
  <c r="L221" i="2"/>
  <c r="I221" i="2"/>
  <c r="I224" i="2" s="1"/>
  <c r="H221" i="2"/>
  <c r="G221" i="2"/>
  <c r="F221" i="2"/>
  <c r="E221" i="2"/>
  <c r="E224" i="2" s="1"/>
  <c r="D221" i="2"/>
  <c r="T220" i="2"/>
  <c r="S220" i="2"/>
  <c r="Q220" i="2"/>
  <c r="P220" i="2"/>
  <c r="O220" i="2"/>
  <c r="N220" i="2"/>
  <c r="M220" i="2"/>
  <c r="L220" i="2"/>
  <c r="J220" i="2"/>
  <c r="I220" i="2"/>
  <c r="G220" i="2"/>
  <c r="G224" i="2" s="1"/>
  <c r="F220" i="2"/>
  <c r="D220" i="2"/>
  <c r="T219" i="2"/>
  <c r="R219" i="2"/>
  <c r="P219" i="2"/>
  <c r="N219" i="2"/>
  <c r="M219" i="2"/>
  <c r="L219" i="2"/>
  <c r="K219" i="2"/>
  <c r="H219" i="2"/>
  <c r="G219" i="2"/>
  <c r="F219" i="2"/>
  <c r="E219" i="2"/>
  <c r="D219" i="2"/>
  <c r="D218" i="2"/>
  <c r="T217" i="2"/>
  <c r="R217" i="2"/>
  <c r="Q217" i="2"/>
  <c r="O217" i="2"/>
  <c r="N217" i="2"/>
  <c r="M217" i="2"/>
  <c r="L217" i="2"/>
  <c r="J217" i="2"/>
  <c r="H217" i="2"/>
  <c r="G217" i="2"/>
  <c r="F217" i="2"/>
  <c r="E217" i="2"/>
  <c r="D217" i="2"/>
  <c r="T216" i="2"/>
  <c r="S216" i="2"/>
  <c r="S224" i="2" s="1"/>
  <c r="R216" i="2"/>
  <c r="Q216" i="2"/>
  <c r="Q224" i="2" s="1"/>
  <c r="P216" i="2"/>
  <c r="P224" i="2" s="1"/>
  <c r="O216" i="2"/>
  <c r="O224" i="2" s="1"/>
  <c r="N216" i="2"/>
  <c r="M216" i="2"/>
  <c r="M224" i="2" s="1"/>
  <c r="L216" i="2"/>
  <c r="J216" i="2"/>
  <c r="J224" i="2" s="1"/>
  <c r="I216" i="2"/>
  <c r="H216" i="2"/>
  <c r="H224" i="2" s="1"/>
  <c r="G216" i="2"/>
  <c r="F216" i="2"/>
  <c r="F224" i="2" s="1"/>
  <c r="E216" i="2"/>
  <c r="D216" i="2"/>
  <c r="D224" i="2" s="1"/>
  <c r="Q214" i="2"/>
  <c r="M214" i="2"/>
  <c r="K214" i="2"/>
  <c r="I214" i="2"/>
  <c r="E214" i="2"/>
  <c r="C214" i="2"/>
  <c r="T212" i="2"/>
  <c r="S212" i="2"/>
  <c r="R212" i="2"/>
  <c r="Q212" i="2"/>
  <c r="P212" i="2"/>
  <c r="O212" i="2"/>
  <c r="N212" i="2"/>
  <c r="M212" i="2"/>
  <c r="I212" i="2"/>
  <c r="H212" i="2"/>
  <c r="G212" i="2"/>
  <c r="F212" i="2"/>
  <c r="E212" i="2"/>
  <c r="D212" i="2"/>
  <c r="T211" i="2"/>
  <c r="S211" i="2"/>
  <c r="R211" i="2"/>
  <c r="Q211" i="2"/>
  <c r="P211" i="2"/>
  <c r="O211" i="2"/>
  <c r="O214" i="2" s="1"/>
  <c r="N211" i="2"/>
  <c r="M211" i="2"/>
  <c r="L211" i="2"/>
  <c r="I211" i="2"/>
  <c r="H211" i="2"/>
  <c r="G211" i="2"/>
  <c r="F211" i="2"/>
  <c r="E211" i="2"/>
  <c r="D211" i="2"/>
  <c r="S210" i="2"/>
  <c r="S214" i="2" s="1"/>
  <c r="Q210" i="2"/>
  <c r="P210" i="2"/>
  <c r="O210" i="2"/>
  <c r="N210" i="2"/>
  <c r="M210" i="2"/>
  <c r="L210" i="2"/>
  <c r="K210" i="2"/>
  <c r="J210" i="2"/>
  <c r="I210" i="2"/>
  <c r="H210" i="2"/>
  <c r="G210" i="2"/>
  <c r="E210" i="2"/>
  <c r="D210" i="2"/>
  <c r="T209" i="2"/>
  <c r="S209" i="2"/>
  <c r="R209" i="2"/>
  <c r="Q209" i="2"/>
  <c r="P209" i="2"/>
  <c r="O209" i="2"/>
  <c r="N209" i="2"/>
  <c r="M209" i="2"/>
  <c r="L209" i="2"/>
  <c r="J209" i="2"/>
  <c r="I209" i="2"/>
  <c r="H209" i="2"/>
  <c r="G209" i="2"/>
  <c r="G214" i="2" s="1"/>
  <c r="F209" i="2"/>
  <c r="E209" i="2"/>
  <c r="D209" i="2"/>
  <c r="D214" i="2" s="1"/>
  <c r="T208" i="2"/>
  <c r="T214" i="2" s="1"/>
  <c r="S208" i="2"/>
  <c r="R208" i="2"/>
  <c r="R214" i="2" s="1"/>
  <c r="Q208" i="2"/>
  <c r="P208" i="2"/>
  <c r="P214" i="2" s="1"/>
  <c r="O208" i="2"/>
  <c r="N208" i="2"/>
  <c r="N214" i="2" s="1"/>
  <c r="M208" i="2"/>
  <c r="L208" i="2"/>
  <c r="L214" i="2" s="1"/>
  <c r="K208" i="2"/>
  <c r="J208" i="2"/>
  <c r="J214" i="2" s="1"/>
  <c r="I208" i="2"/>
  <c r="H208" i="2"/>
  <c r="H214" i="2" s="1"/>
  <c r="G208" i="2"/>
  <c r="F208" i="2"/>
  <c r="F214" i="2" s="1"/>
  <c r="E208" i="2"/>
  <c r="T202" i="2"/>
  <c r="Q202" i="2"/>
  <c r="P202" i="2"/>
  <c r="N202" i="2"/>
  <c r="K202" i="2"/>
  <c r="J202" i="2"/>
  <c r="H202" i="2"/>
  <c r="F202" i="2"/>
  <c r="E202" i="2"/>
  <c r="D202" i="2"/>
  <c r="C202" i="2"/>
  <c r="T199" i="2"/>
  <c r="S199" i="2"/>
  <c r="S202" i="2" s="1"/>
  <c r="R199" i="2"/>
  <c r="R202" i="2" s="1"/>
  <c r="O199" i="2"/>
  <c r="O202" i="2" s="1"/>
  <c r="N199" i="2"/>
  <c r="M199" i="2"/>
  <c r="M202" i="2" s="1"/>
  <c r="L199" i="2"/>
  <c r="L202" i="2" s="1"/>
  <c r="J199" i="2"/>
  <c r="I199" i="2"/>
  <c r="I202" i="2" s="1"/>
  <c r="H199" i="2"/>
  <c r="G199" i="2"/>
  <c r="G202" i="2" s="1"/>
  <c r="D199" i="2"/>
  <c r="C197" i="2"/>
  <c r="T195" i="2"/>
  <c r="S195" i="2"/>
  <c r="R195" i="2"/>
  <c r="Q195" i="2"/>
  <c r="P195" i="2"/>
  <c r="O195" i="2"/>
  <c r="N195" i="2"/>
  <c r="M195" i="2"/>
  <c r="I195" i="2"/>
  <c r="H195" i="2"/>
  <c r="G195" i="2"/>
  <c r="F195" i="2"/>
  <c r="E195" i="2"/>
  <c r="D195" i="2"/>
  <c r="T194" i="2"/>
  <c r="S194" i="2"/>
  <c r="R194" i="2"/>
  <c r="Q194" i="2"/>
  <c r="P194" i="2"/>
  <c r="O194" i="2"/>
  <c r="N194" i="2"/>
  <c r="M194" i="2"/>
  <c r="L194" i="2"/>
  <c r="I194" i="2"/>
  <c r="H194" i="2"/>
  <c r="G194" i="2"/>
  <c r="F194" i="2"/>
  <c r="E194" i="2"/>
  <c r="D194" i="2"/>
  <c r="Q193" i="2"/>
  <c r="P193" i="2"/>
  <c r="O193" i="2"/>
  <c r="N193" i="2"/>
  <c r="M193" i="2"/>
  <c r="L193" i="2"/>
  <c r="J193" i="2"/>
  <c r="G193" i="2"/>
  <c r="F193" i="2"/>
  <c r="D193" i="2"/>
  <c r="T192" i="2"/>
  <c r="R192" i="2"/>
  <c r="R197" i="2" s="1"/>
  <c r="P192" i="2"/>
  <c r="N192" i="2"/>
  <c r="N197" i="2" s="1"/>
  <c r="M192" i="2"/>
  <c r="L192" i="2"/>
  <c r="K192" i="2"/>
  <c r="H192" i="2"/>
  <c r="G192" i="2"/>
  <c r="F192" i="2"/>
  <c r="E192" i="2"/>
  <c r="D192" i="2"/>
  <c r="T191" i="2"/>
  <c r="S191" i="2"/>
  <c r="R191" i="2"/>
  <c r="Q191" i="2"/>
  <c r="P191" i="2"/>
  <c r="O191" i="2"/>
  <c r="N191" i="2"/>
  <c r="M191" i="2"/>
  <c r="L191" i="2"/>
  <c r="K191" i="2"/>
  <c r="K197" i="2" s="1"/>
  <c r="J191" i="2"/>
  <c r="I191" i="2"/>
  <c r="H191" i="2"/>
  <c r="G191" i="2"/>
  <c r="F191" i="2"/>
  <c r="E191" i="2"/>
  <c r="D191" i="2"/>
  <c r="S190" i="2"/>
  <c r="R190" i="2"/>
  <c r="Q190" i="2"/>
  <c r="P190" i="2"/>
  <c r="O190" i="2"/>
  <c r="N190" i="2"/>
  <c r="M190" i="2"/>
  <c r="L190" i="2"/>
  <c r="J190" i="2"/>
  <c r="I190" i="2"/>
  <c r="H190" i="2"/>
  <c r="G190" i="2"/>
  <c r="F190" i="2"/>
  <c r="E190" i="2"/>
  <c r="D190" i="2"/>
  <c r="T189" i="2"/>
  <c r="T197" i="2" s="1"/>
  <c r="S189" i="2"/>
  <c r="S197" i="2" s="1"/>
  <c r="R189" i="2"/>
  <c r="Q189" i="2"/>
  <c r="Q197" i="2" s="1"/>
  <c r="P189" i="2"/>
  <c r="P197" i="2" s="1"/>
  <c r="O189" i="2"/>
  <c r="O197" i="2" s="1"/>
  <c r="N189" i="2"/>
  <c r="M189" i="2"/>
  <c r="M197" i="2" s="1"/>
  <c r="L189" i="2"/>
  <c r="L197" i="2" s="1"/>
  <c r="J189" i="2"/>
  <c r="J197" i="2" s="1"/>
  <c r="I189" i="2"/>
  <c r="I197" i="2" s="1"/>
  <c r="H189" i="2"/>
  <c r="H197" i="2" s="1"/>
  <c r="G189" i="2"/>
  <c r="G197" i="2" s="1"/>
  <c r="F189" i="2"/>
  <c r="F197" i="2" s="1"/>
  <c r="E189" i="2"/>
  <c r="E197" i="2" s="1"/>
  <c r="D189" i="2"/>
  <c r="D197" i="2" s="1"/>
  <c r="C187" i="2"/>
  <c r="T185" i="2"/>
  <c r="S185" i="2"/>
  <c r="R185" i="2"/>
  <c r="Q185" i="2"/>
  <c r="O185" i="2"/>
  <c r="N185" i="2"/>
  <c r="M185" i="2"/>
  <c r="L185" i="2"/>
  <c r="K185" i="2"/>
  <c r="J185" i="2"/>
  <c r="I185" i="2"/>
  <c r="H185" i="2"/>
  <c r="F185" i="2"/>
  <c r="T184" i="2"/>
  <c r="S184" i="2"/>
  <c r="R184" i="2"/>
  <c r="Q184" i="2"/>
  <c r="P184" i="2"/>
  <c r="O184" i="2"/>
  <c r="N184" i="2"/>
  <c r="M184" i="2"/>
  <c r="I184" i="2"/>
  <c r="H184" i="2"/>
  <c r="G184" i="2"/>
  <c r="F184" i="2"/>
  <c r="E184" i="2"/>
  <c r="T183" i="2"/>
  <c r="S183" i="2"/>
  <c r="R183" i="2"/>
  <c r="Q183" i="2"/>
  <c r="P183" i="2"/>
  <c r="O183" i="2"/>
  <c r="N183" i="2"/>
  <c r="M183" i="2"/>
  <c r="L183" i="2"/>
  <c r="L187" i="2" s="1"/>
  <c r="I183" i="2"/>
  <c r="H183" i="2"/>
  <c r="G183" i="2"/>
  <c r="G187" i="2" s="1"/>
  <c r="F183" i="2"/>
  <c r="E183" i="2"/>
  <c r="E187" i="2" s="1"/>
  <c r="D183" i="2"/>
  <c r="T182" i="2"/>
  <c r="S182" i="2"/>
  <c r="Q182" i="2"/>
  <c r="Q187" i="2" s="1"/>
  <c r="P182" i="2"/>
  <c r="P187" i="2" s="1"/>
  <c r="N182" i="2"/>
  <c r="M182" i="2"/>
  <c r="K182" i="2"/>
  <c r="K187" i="2" s="1"/>
  <c r="J182" i="2"/>
  <c r="J187" i="2" s="1"/>
  <c r="I182" i="2"/>
  <c r="I187" i="2" s="1"/>
  <c r="H182" i="2"/>
  <c r="F182" i="2"/>
  <c r="E182" i="2"/>
  <c r="D182" i="2"/>
  <c r="T180" i="2"/>
  <c r="T187" i="2" s="1"/>
  <c r="S180" i="2"/>
  <c r="S187" i="2" s="1"/>
  <c r="R180" i="2"/>
  <c r="R187" i="2" s="1"/>
  <c r="O180" i="2"/>
  <c r="O187" i="2" s="1"/>
  <c r="N180" i="2"/>
  <c r="N187" i="2" s="1"/>
  <c r="M180" i="2"/>
  <c r="M187" i="2" s="1"/>
  <c r="I180" i="2"/>
  <c r="H180" i="2"/>
  <c r="H187" i="2" s="1"/>
  <c r="G180" i="2"/>
  <c r="F180" i="2"/>
  <c r="F187" i="2" s="1"/>
  <c r="E180" i="2"/>
  <c r="D180" i="2"/>
  <c r="D187" i="2" s="1"/>
  <c r="E174" i="2"/>
  <c r="C174" i="2"/>
  <c r="C175" i="2" s="1"/>
  <c r="T172" i="2"/>
  <c r="S172" i="2"/>
  <c r="R172" i="2"/>
  <c r="Q172" i="2"/>
  <c r="P172" i="2"/>
  <c r="O172" i="2"/>
  <c r="N172" i="2"/>
  <c r="M172" i="2"/>
  <c r="L172" i="2"/>
  <c r="J172" i="2"/>
  <c r="I172" i="2"/>
  <c r="H172" i="2"/>
  <c r="G172" i="2"/>
  <c r="F172" i="2"/>
  <c r="F174" i="2" s="1"/>
  <c r="E172" i="2"/>
  <c r="D172" i="2"/>
  <c r="D174" i="2" s="1"/>
  <c r="T171" i="2"/>
  <c r="T174" i="2" s="1"/>
  <c r="S171" i="2"/>
  <c r="S174" i="2" s="1"/>
  <c r="R171" i="2"/>
  <c r="R174" i="2" s="1"/>
  <c r="Q171" i="2"/>
  <c r="Q174" i="2" s="1"/>
  <c r="P171" i="2"/>
  <c r="P174" i="2" s="1"/>
  <c r="O171" i="2"/>
  <c r="O174" i="2" s="1"/>
  <c r="N171" i="2"/>
  <c r="N174" i="2" s="1"/>
  <c r="M171" i="2"/>
  <c r="M174" i="2" s="1"/>
  <c r="L171" i="2"/>
  <c r="L174" i="2" s="1"/>
  <c r="K171" i="2"/>
  <c r="K174" i="2" s="1"/>
  <c r="J171" i="2"/>
  <c r="J174" i="2" s="1"/>
  <c r="I171" i="2"/>
  <c r="I174" i="2" s="1"/>
  <c r="H171" i="2"/>
  <c r="H174" i="2" s="1"/>
  <c r="G171" i="2"/>
  <c r="G174" i="2" s="1"/>
  <c r="E171" i="2"/>
  <c r="C169" i="2"/>
  <c r="T167" i="2"/>
  <c r="S167" i="2"/>
  <c r="R167" i="2"/>
  <c r="Q167" i="2"/>
  <c r="P167" i="2"/>
  <c r="O167" i="2"/>
  <c r="N167" i="2"/>
  <c r="M167" i="2"/>
  <c r="I167" i="2"/>
  <c r="H167" i="2"/>
  <c r="G167" i="2"/>
  <c r="F167" i="2"/>
  <c r="E167" i="2"/>
  <c r="D167" i="2"/>
  <c r="T166" i="2"/>
  <c r="S166" i="2"/>
  <c r="R166" i="2"/>
  <c r="Q166" i="2"/>
  <c r="P166" i="2"/>
  <c r="O166" i="2"/>
  <c r="N166" i="2"/>
  <c r="M166" i="2"/>
  <c r="L166" i="2"/>
  <c r="I166" i="2"/>
  <c r="H166" i="2"/>
  <c r="G166" i="2"/>
  <c r="E166" i="2"/>
  <c r="D166" i="2"/>
  <c r="T164" i="2"/>
  <c r="R164" i="2"/>
  <c r="P164" i="2"/>
  <c r="N164" i="2"/>
  <c r="M164" i="2"/>
  <c r="L164" i="2"/>
  <c r="K164" i="2"/>
  <c r="H164" i="2"/>
  <c r="G164" i="2"/>
  <c r="F164" i="2"/>
  <c r="E164" i="2"/>
  <c r="D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T162" i="2"/>
  <c r="S162" i="2"/>
  <c r="R162" i="2"/>
  <c r="Q162" i="2"/>
  <c r="P162" i="2"/>
  <c r="O162" i="2"/>
  <c r="N162" i="2"/>
  <c r="M162" i="2"/>
  <c r="K162" i="2"/>
  <c r="J162" i="2"/>
  <c r="I162" i="2"/>
  <c r="H162" i="2"/>
  <c r="T161" i="2"/>
  <c r="T169" i="2" s="1"/>
  <c r="S161" i="2"/>
  <c r="R161" i="2"/>
  <c r="R169" i="2" s="1"/>
  <c r="Q161" i="2"/>
  <c r="P161" i="2"/>
  <c r="P169" i="2" s="1"/>
  <c r="O161" i="2"/>
  <c r="N161" i="2"/>
  <c r="N169" i="2" s="1"/>
  <c r="M161" i="2"/>
  <c r="L161" i="2"/>
  <c r="L169" i="2" s="1"/>
  <c r="K161" i="2"/>
  <c r="K169" i="2" s="1"/>
  <c r="J161" i="2"/>
  <c r="I161" i="2"/>
  <c r="H161" i="2"/>
  <c r="F161" i="2"/>
  <c r="E161" i="2"/>
  <c r="T160" i="2"/>
  <c r="S160" i="2"/>
  <c r="S169" i="2" s="1"/>
  <c r="R160" i="2"/>
  <c r="Q160" i="2"/>
  <c r="Q169" i="2" s="1"/>
  <c r="P160" i="2"/>
  <c r="O160" i="2"/>
  <c r="O169" i="2" s="1"/>
  <c r="N160" i="2"/>
  <c r="M160" i="2"/>
  <c r="M169" i="2" s="1"/>
  <c r="L160" i="2"/>
  <c r="J160" i="2"/>
  <c r="J169" i="2" s="1"/>
  <c r="I160" i="2"/>
  <c r="I169" i="2" s="1"/>
  <c r="H160" i="2"/>
  <c r="H169" i="2" s="1"/>
  <c r="G160" i="2"/>
  <c r="G169" i="2" s="1"/>
  <c r="F160" i="2"/>
  <c r="F169" i="2" s="1"/>
  <c r="E160" i="2"/>
  <c r="E169" i="2" s="1"/>
  <c r="D160" i="2"/>
  <c r="D169" i="2" s="1"/>
  <c r="C158" i="2"/>
  <c r="T156" i="2"/>
  <c r="S156" i="2"/>
  <c r="R156" i="2"/>
  <c r="Q156" i="2"/>
  <c r="P156" i="2"/>
  <c r="O156" i="2"/>
  <c r="N156" i="2"/>
  <c r="M156" i="2"/>
  <c r="I156" i="2"/>
  <c r="H156" i="2"/>
  <c r="G156" i="2"/>
  <c r="F156" i="2"/>
  <c r="E156" i="2"/>
  <c r="D156" i="2"/>
  <c r="T155" i="2"/>
  <c r="S155" i="2"/>
  <c r="R155" i="2"/>
  <c r="Q155" i="2"/>
  <c r="P155" i="2"/>
  <c r="O155" i="2"/>
  <c r="N155" i="2"/>
  <c r="M155" i="2"/>
  <c r="L155" i="2"/>
  <c r="I155" i="2"/>
  <c r="H155" i="2"/>
  <c r="G155" i="2"/>
  <c r="F155" i="2"/>
  <c r="E155" i="2"/>
  <c r="D155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E154" i="2"/>
  <c r="E158" i="2" s="1"/>
  <c r="T153" i="2"/>
  <c r="S153" i="2"/>
  <c r="R153" i="2"/>
  <c r="Q153" i="2"/>
  <c r="P153" i="2"/>
  <c r="O153" i="2"/>
  <c r="N153" i="2"/>
  <c r="M153" i="2"/>
  <c r="L153" i="2"/>
  <c r="J153" i="2"/>
  <c r="I153" i="2"/>
  <c r="H153" i="2"/>
  <c r="G153" i="2"/>
  <c r="F153" i="2"/>
  <c r="F158" i="2" s="1"/>
  <c r="E153" i="2"/>
  <c r="D153" i="2"/>
  <c r="T152" i="2"/>
  <c r="T158" i="2" s="1"/>
  <c r="S152" i="2"/>
  <c r="S158" i="2" s="1"/>
  <c r="R152" i="2"/>
  <c r="R158" i="2" s="1"/>
  <c r="Q152" i="2"/>
  <c r="Q158" i="2" s="1"/>
  <c r="P152" i="2"/>
  <c r="P158" i="2" s="1"/>
  <c r="O152" i="2"/>
  <c r="O158" i="2" s="1"/>
  <c r="N152" i="2"/>
  <c r="N158" i="2" s="1"/>
  <c r="M152" i="2"/>
  <c r="M158" i="2" s="1"/>
  <c r="L152" i="2"/>
  <c r="L158" i="2" s="1"/>
  <c r="K152" i="2"/>
  <c r="K158" i="2" s="1"/>
  <c r="J152" i="2"/>
  <c r="J158" i="2" s="1"/>
  <c r="I152" i="2"/>
  <c r="I158" i="2" s="1"/>
  <c r="H152" i="2"/>
  <c r="H158" i="2" s="1"/>
  <c r="G152" i="2"/>
  <c r="G158" i="2" s="1"/>
  <c r="E152" i="2"/>
  <c r="D152" i="2"/>
  <c r="D158" i="2" s="1"/>
  <c r="T146" i="2"/>
  <c r="L146" i="2"/>
  <c r="K146" i="2"/>
  <c r="J146" i="2"/>
  <c r="E146" i="2"/>
  <c r="C146" i="2"/>
  <c r="S144" i="2"/>
  <c r="R144" i="2"/>
  <c r="P144" i="2"/>
  <c r="P146" i="2" s="1"/>
  <c r="O144" i="2"/>
  <c r="O146" i="2" s="1"/>
  <c r="N144" i="2"/>
  <c r="M144" i="2"/>
  <c r="M146" i="2" s="1"/>
  <c r="G144" i="2"/>
  <c r="F144" i="2"/>
  <c r="E144" i="2"/>
  <c r="S143" i="2"/>
  <c r="S146" i="2" s="1"/>
  <c r="R143" i="2"/>
  <c r="R146" i="2" s="1"/>
  <c r="Q143" i="2"/>
  <c r="Q146" i="2" s="1"/>
  <c r="O143" i="2"/>
  <c r="N143" i="2"/>
  <c r="N146" i="2" s="1"/>
  <c r="M143" i="2"/>
  <c r="I143" i="2"/>
  <c r="I146" i="2" s="1"/>
  <c r="H143" i="2"/>
  <c r="H146" i="2" s="1"/>
  <c r="G143" i="2"/>
  <c r="G146" i="2" s="1"/>
  <c r="F143" i="2"/>
  <c r="F146" i="2" s="1"/>
  <c r="D143" i="2"/>
  <c r="D146" i="2" s="1"/>
  <c r="K141" i="2"/>
  <c r="C141" i="2"/>
  <c r="T139" i="2"/>
  <c r="S139" i="2"/>
  <c r="R139" i="2"/>
  <c r="Q139" i="2"/>
  <c r="P139" i="2"/>
  <c r="O139" i="2"/>
  <c r="N139" i="2"/>
  <c r="M139" i="2"/>
  <c r="I139" i="2"/>
  <c r="H139" i="2"/>
  <c r="G139" i="2"/>
  <c r="F139" i="2"/>
  <c r="E139" i="2"/>
  <c r="D139" i="2"/>
  <c r="T138" i="2"/>
  <c r="S138" i="2"/>
  <c r="R138" i="2"/>
  <c r="Q138" i="2"/>
  <c r="P138" i="2"/>
  <c r="O138" i="2"/>
  <c r="N138" i="2"/>
  <c r="M138" i="2"/>
  <c r="L138" i="2"/>
  <c r="I138" i="2"/>
  <c r="H138" i="2"/>
  <c r="G138" i="2"/>
  <c r="F138" i="2"/>
  <c r="E138" i="2"/>
  <c r="D138" i="2"/>
  <c r="T137" i="2"/>
  <c r="S137" i="2"/>
  <c r="R137" i="2"/>
  <c r="Q137" i="2"/>
  <c r="P137" i="2"/>
  <c r="O137" i="2"/>
  <c r="N137" i="2"/>
  <c r="M137" i="2"/>
  <c r="L137" i="2"/>
  <c r="J137" i="2"/>
  <c r="I137" i="2"/>
  <c r="I141" i="2" s="1"/>
  <c r="H137" i="2"/>
  <c r="G137" i="2"/>
  <c r="F137" i="2"/>
  <c r="E137" i="2"/>
  <c r="D137" i="2"/>
  <c r="S136" i="2"/>
  <c r="R136" i="2"/>
  <c r="Q136" i="2"/>
  <c r="P136" i="2"/>
  <c r="O136" i="2"/>
  <c r="N136" i="2"/>
  <c r="M136" i="2"/>
  <c r="L136" i="2"/>
  <c r="J136" i="2"/>
  <c r="I136" i="2"/>
  <c r="H136" i="2"/>
  <c r="G136" i="2"/>
  <c r="F136" i="2"/>
  <c r="E136" i="2"/>
  <c r="D136" i="2"/>
  <c r="T135" i="2"/>
  <c r="S135" i="2"/>
  <c r="R135" i="2"/>
  <c r="Q135" i="2"/>
  <c r="P135" i="2"/>
  <c r="O135" i="2"/>
  <c r="N135" i="2"/>
  <c r="M135" i="2"/>
  <c r="K135" i="2"/>
  <c r="J135" i="2"/>
  <c r="I135" i="2"/>
  <c r="H135" i="2"/>
  <c r="G135" i="2"/>
  <c r="F135" i="2"/>
  <c r="E135" i="2"/>
  <c r="D135" i="2"/>
  <c r="T134" i="2"/>
  <c r="S134" i="2"/>
  <c r="S141" i="2" s="1"/>
  <c r="R134" i="2"/>
  <c r="Q134" i="2"/>
  <c r="Q141" i="2" s="1"/>
  <c r="P134" i="2"/>
  <c r="O134" i="2"/>
  <c r="O141" i="2" s="1"/>
  <c r="N134" i="2"/>
  <c r="M134" i="2"/>
  <c r="M141" i="2" s="1"/>
  <c r="L134" i="2"/>
  <c r="J134" i="2"/>
  <c r="I134" i="2"/>
  <c r="G134" i="2"/>
  <c r="G141" i="2" s="1"/>
  <c r="F134" i="2"/>
  <c r="E134" i="2"/>
  <c r="E141" i="2" s="1"/>
  <c r="D134" i="2"/>
  <c r="T133" i="2"/>
  <c r="T141" i="2" s="1"/>
  <c r="S133" i="2"/>
  <c r="R133" i="2"/>
  <c r="R141" i="2" s="1"/>
  <c r="Q133" i="2"/>
  <c r="P133" i="2"/>
  <c r="P141" i="2" s="1"/>
  <c r="O133" i="2"/>
  <c r="N133" i="2"/>
  <c r="N141" i="2" s="1"/>
  <c r="M133" i="2"/>
  <c r="L133" i="2"/>
  <c r="L141" i="2" s="1"/>
  <c r="K133" i="2"/>
  <c r="J133" i="2"/>
  <c r="J141" i="2" s="1"/>
  <c r="I133" i="2"/>
  <c r="H133" i="2"/>
  <c r="H141" i="2" s="1"/>
  <c r="G133" i="2"/>
  <c r="C131" i="2"/>
  <c r="T129" i="2"/>
  <c r="S129" i="2"/>
  <c r="R129" i="2"/>
  <c r="Q129" i="2"/>
  <c r="P129" i="2"/>
  <c r="O129" i="2"/>
  <c r="N129" i="2"/>
  <c r="M129" i="2"/>
  <c r="L129" i="2"/>
  <c r="J129" i="2"/>
  <c r="I129" i="2"/>
  <c r="H129" i="2"/>
  <c r="F129" i="2"/>
  <c r="T128" i="2"/>
  <c r="S128" i="2"/>
  <c r="R128" i="2"/>
  <c r="Q128" i="2"/>
  <c r="P128" i="2"/>
  <c r="O128" i="2"/>
  <c r="N128" i="2"/>
  <c r="M128" i="2"/>
  <c r="I128" i="2"/>
  <c r="H128" i="2"/>
  <c r="G128" i="2"/>
  <c r="F128" i="2"/>
  <c r="E128" i="2"/>
  <c r="D128" i="2"/>
  <c r="T127" i="2"/>
  <c r="S127" i="2"/>
  <c r="R127" i="2"/>
  <c r="Q127" i="2"/>
  <c r="P127" i="2"/>
  <c r="O127" i="2"/>
  <c r="N127" i="2"/>
  <c r="M127" i="2"/>
  <c r="L127" i="2"/>
  <c r="I127" i="2"/>
  <c r="H127" i="2"/>
  <c r="F127" i="2"/>
  <c r="E127" i="2"/>
  <c r="D127" i="2"/>
  <c r="D131" i="2" s="1"/>
  <c r="T126" i="2"/>
  <c r="S126" i="2"/>
  <c r="Q126" i="2"/>
  <c r="P126" i="2"/>
  <c r="N126" i="2"/>
  <c r="M126" i="2"/>
  <c r="K126" i="2"/>
  <c r="J126" i="2"/>
  <c r="I126" i="2"/>
  <c r="H126" i="2"/>
  <c r="F126" i="2"/>
  <c r="E126" i="2"/>
  <c r="D126" i="2"/>
  <c r="T125" i="2"/>
  <c r="S125" i="2"/>
  <c r="R125" i="2"/>
  <c r="Q125" i="2"/>
  <c r="P125" i="2"/>
  <c r="O125" i="2"/>
  <c r="N125" i="2"/>
  <c r="M125" i="2"/>
  <c r="L125" i="2"/>
  <c r="J125" i="2"/>
  <c r="I125" i="2"/>
  <c r="H125" i="2"/>
  <c r="G125" i="2"/>
  <c r="F125" i="2"/>
  <c r="E125" i="2"/>
  <c r="E131" i="2" s="1"/>
  <c r="D125" i="2"/>
  <c r="T124" i="2"/>
  <c r="T131" i="2" s="1"/>
  <c r="S124" i="2"/>
  <c r="R124" i="2"/>
  <c r="R131" i="2" s="1"/>
  <c r="Q124" i="2"/>
  <c r="P124" i="2"/>
  <c r="P131" i="2" s="1"/>
  <c r="O124" i="2"/>
  <c r="N124" i="2"/>
  <c r="N131" i="2" s="1"/>
  <c r="M124" i="2"/>
  <c r="L124" i="2"/>
  <c r="L131" i="2" s="1"/>
  <c r="K124" i="2"/>
  <c r="K131" i="2" s="1"/>
  <c r="J124" i="2"/>
  <c r="J131" i="2" s="1"/>
  <c r="I124" i="2"/>
  <c r="H124" i="2"/>
  <c r="H131" i="2" s="1"/>
  <c r="G124" i="2"/>
  <c r="F124" i="2"/>
  <c r="F131" i="2" s="1"/>
  <c r="S118" i="2"/>
  <c r="S119" i="2" s="1"/>
  <c r="O118" i="2"/>
  <c r="O119" i="2" s="1"/>
  <c r="K118" i="2"/>
  <c r="K119" i="2" s="1"/>
  <c r="G118" i="2"/>
  <c r="F118" i="2"/>
  <c r="E118" i="2"/>
  <c r="C118" i="2"/>
  <c r="C119" i="2" s="1"/>
  <c r="T116" i="2"/>
  <c r="T118" i="2" s="1"/>
  <c r="S116" i="2"/>
  <c r="R116" i="2"/>
  <c r="R118" i="2" s="1"/>
  <c r="Q116" i="2"/>
  <c r="P116" i="2"/>
  <c r="O116" i="2"/>
  <c r="N116" i="2"/>
  <c r="M116" i="2"/>
  <c r="L116" i="2"/>
  <c r="K116" i="2"/>
  <c r="J116" i="2"/>
  <c r="I116" i="2"/>
  <c r="I118" i="2" s="1"/>
  <c r="H116" i="2"/>
  <c r="H118" i="2" s="1"/>
  <c r="G116" i="2"/>
  <c r="E116" i="2"/>
  <c r="Q115" i="2"/>
  <c r="Q118" i="2" s="1"/>
  <c r="Q119" i="2" s="1"/>
  <c r="P115" i="2"/>
  <c r="P118" i="2" s="1"/>
  <c r="O115" i="2"/>
  <c r="N115" i="2"/>
  <c r="N118" i="2" s="1"/>
  <c r="M115" i="2"/>
  <c r="M118" i="2" s="1"/>
  <c r="M119" i="2" s="1"/>
  <c r="L115" i="2"/>
  <c r="L118" i="2" s="1"/>
  <c r="J115" i="2"/>
  <c r="J118" i="2" s="1"/>
  <c r="I115" i="2"/>
  <c r="G115" i="2"/>
  <c r="D115" i="2"/>
  <c r="D118" i="2" s="1"/>
  <c r="R113" i="2"/>
  <c r="N113" i="2"/>
  <c r="J113" i="2"/>
  <c r="F113" i="2"/>
  <c r="C113" i="2"/>
  <c r="T111" i="2"/>
  <c r="S111" i="2"/>
  <c r="R111" i="2"/>
  <c r="Q111" i="2"/>
  <c r="P111" i="2"/>
  <c r="O111" i="2"/>
  <c r="N111" i="2"/>
  <c r="M111" i="2"/>
  <c r="I111" i="2"/>
  <c r="H111" i="2"/>
  <c r="G111" i="2"/>
  <c r="F111" i="2"/>
  <c r="E111" i="2"/>
  <c r="D111" i="2"/>
  <c r="T110" i="2"/>
  <c r="S110" i="2"/>
  <c r="R110" i="2"/>
  <c r="Q110" i="2"/>
  <c r="P110" i="2"/>
  <c r="O110" i="2"/>
  <c r="N110" i="2"/>
  <c r="M110" i="2"/>
  <c r="L110" i="2"/>
  <c r="I110" i="2"/>
  <c r="H110" i="2"/>
  <c r="G110" i="2"/>
  <c r="F110" i="2"/>
  <c r="E110" i="2"/>
  <c r="D110" i="2"/>
  <c r="D113" i="2" s="1"/>
  <c r="Q109" i="2"/>
  <c r="P109" i="2"/>
  <c r="O109" i="2"/>
  <c r="N109" i="2"/>
  <c r="M109" i="2"/>
  <c r="L109" i="2"/>
  <c r="J109" i="2"/>
  <c r="I109" i="2"/>
  <c r="H109" i="2"/>
  <c r="G109" i="2"/>
  <c r="F109" i="2"/>
  <c r="E109" i="2"/>
  <c r="D109" i="2"/>
  <c r="T108" i="2"/>
  <c r="R108" i="2"/>
  <c r="P108" i="2"/>
  <c r="N108" i="2"/>
  <c r="M108" i="2"/>
  <c r="L108" i="2"/>
  <c r="K108" i="2"/>
  <c r="H108" i="2"/>
  <c r="G108" i="2"/>
  <c r="F108" i="2"/>
  <c r="E108" i="2"/>
  <c r="D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E107" i="2"/>
  <c r="D107" i="2"/>
  <c r="T106" i="2"/>
  <c r="S106" i="2"/>
  <c r="R106" i="2"/>
  <c r="Q106" i="2"/>
  <c r="P106" i="2"/>
  <c r="O106" i="2"/>
  <c r="N106" i="2"/>
  <c r="M106" i="2"/>
  <c r="L106" i="2"/>
  <c r="K106" i="2"/>
  <c r="K113" i="2" s="1"/>
  <c r="J106" i="2"/>
  <c r="I106" i="2"/>
  <c r="H106" i="2"/>
  <c r="H113" i="2" s="1"/>
  <c r="G106" i="2"/>
  <c r="T105" i="2"/>
  <c r="S105" i="2"/>
  <c r="R105" i="2"/>
  <c r="Q105" i="2"/>
  <c r="P105" i="2"/>
  <c r="O105" i="2"/>
  <c r="N105" i="2"/>
  <c r="M105" i="2"/>
  <c r="L105" i="2"/>
  <c r="J105" i="2"/>
  <c r="I105" i="2"/>
  <c r="H105" i="2"/>
  <c r="G105" i="2"/>
  <c r="F105" i="2"/>
  <c r="E105" i="2"/>
  <c r="D105" i="2"/>
  <c r="T104" i="2"/>
  <c r="T113" i="2" s="1"/>
  <c r="S104" i="2"/>
  <c r="S113" i="2" s="1"/>
  <c r="R104" i="2"/>
  <c r="Q104" i="2"/>
  <c r="Q113" i="2" s="1"/>
  <c r="P104" i="2"/>
  <c r="P113" i="2" s="1"/>
  <c r="O104" i="2"/>
  <c r="O113" i="2" s="1"/>
  <c r="N104" i="2"/>
  <c r="M104" i="2"/>
  <c r="M113" i="2" s="1"/>
  <c r="L104" i="2"/>
  <c r="L113" i="2" s="1"/>
  <c r="J104" i="2"/>
  <c r="I104" i="2"/>
  <c r="I113" i="2" s="1"/>
  <c r="H104" i="2"/>
  <c r="G104" i="2"/>
  <c r="G113" i="2" s="1"/>
  <c r="F104" i="2"/>
  <c r="E104" i="2"/>
  <c r="E113" i="2" s="1"/>
  <c r="D104" i="2"/>
  <c r="C101" i="2"/>
  <c r="T99" i="2"/>
  <c r="S99" i="2"/>
  <c r="R99" i="2"/>
  <c r="Q99" i="2"/>
  <c r="P99" i="2"/>
  <c r="O99" i="2"/>
  <c r="N99" i="2"/>
  <c r="M99" i="2"/>
  <c r="I99" i="2"/>
  <c r="H99" i="2"/>
  <c r="G99" i="2"/>
  <c r="F99" i="2"/>
  <c r="E99" i="2"/>
  <c r="D99" i="2"/>
  <c r="T98" i="2"/>
  <c r="S98" i="2"/>
  <c r="R98" i="2"/>
  <c r="Q98" i="2"/>
  <c r="P98" i="2"/>
  <c r="O98" i="2"/>
  <c r="N98" i="2"/>
  <c r="M98" i="2"/>
  <c r="L98" i="2"/>
  <c r="I98" i="2"/>
  <c r="H98" i="2"/>
  <c r="G98" i="2"/>
  <c r="F98" i="2"/>
  <c r="D98" i="2"/>
  <c r="S97" i="2"/>
  <c r="Q97" i="2"/>
  <c r="P97" i="2"/>
  <c r="O97" i="2"/>
  <c r="N97" i="2"/>
  <c r="M97" i="2"/>
  <c r="L97" i="2"/>
  <c r="K97" i="2"/>
  <c r="J97" i="2"/>
  <c r="I97" i="2"/>
  <c r="H97" i="2"/>
  <c r="G97" i="2"/>
  <c r="E97" i="2"/>
  <c r="D97" i="2"/>
  <c r="T96" i="2"/>
  <c r="S96" i="2"/>
  <c r="R96" i="2"/>
  <c r="Q96" i="2"/>
  <c r="P96" i="2"/>
  <c r="O96" i="2"/>
  <c r="N96" i="2"/>
  <c r="M96" i="2"/>
  <c r="L96" i="2"/>
  <c r="J96" i="2"/>
  <c r="I96" i="2"/>
  <c r="H96" i="2"/>
  <c r="G96" i="2"/>
  <c r="F96" i="2"/>
  <c r="E96" i="2"/>
  <c r="D96" i="2"/>
  <c r="T95" i="2"/>
  <c r="T101" i="2" s="1"/>
  <c r="S95" i="2"/>
  <c r="S101" i="2" s="1"/>
  <c r="R95" i="2"/>
  <c r="R101" i="2" s="1"/>
  <c r="Q95" i="2"/>
  <c r="Q101" i="2" s="1"/>
  <c r="P95" i="2"/>
  <c r="P101" i="2" s="1"/>
  <c r="O95" i="2"/>
  <c r="O101" i="2" s="1"/>
  <c r="N95" i="2"/>
  <c r="N101" i="2" s="1"/>
  <c r="M95" i="2"/>
  <c r="M101" i="2" s="1"/>
  <c r="L95" i="2"/>
  <c r="L101" i="2" s="1"/>
  <c r="K95" i="2"/>
  <c r="K101" i="2" s="1"/>
  <c r="J95" i="2"/>
  <c r="J101" i="2" s="1"/>
  <c r="I95" i="2"/>
  <c r="H95" i="2"/>
  <c r="H101" i="2" s="1"/>
  <c r="G95" i="2"/>
  <c r="F95" i="2"/>
  <c r="F101" i="2" s="1"/>
  <c r="E95" i="2"/>
  <c r="D95" i="2"/>
  <c r="D101" i="2" s="1"/>
  <c r="S89" i="2"/>
  <c r="Q89" i="2"/>
  <c r="O89" i="2"/>
  <c r="M89" i="2"/>
  <c r="K89" i="2"/>
  <c r="G89" i="2"/>
  <c r="C89" i="2"/>
  <c r="C90" i="2" s="1"/>
  <c r="Q87" i="2"/>
  <c r="P87" i="2"/>
  <c r="O87" i="2"/>
  <c r="N87" i="2"/>
  <c r="M87" i="2"/>
  <c r="L87" i="2"/>
  <c r="J87" i="2"/>
  <c r="I87" i="2"/>
  <c r="I89" i="2" s="1"/>
  <c r="G87" i="2"/>
  <c r="F87" i="2"/>
  <c r="F89" i="2" s="1"/>
  <c r="D87" i="2"/>
  <c r="D89" i="2" s="1"/>
  <c r="T86" i="2"/>
  <c r="T89" i="2" s="1"/>
  <c r="S86" i="2"/>
  <c r="R86" i="2"/>
  <c r="R89" i="2" s="1"/>
  <c r="Q86" i="2"/>
  <c r="P86" i="2"/>
  <c r="P89" i="2" s="1"/>
  <c r="O86" i="2"/>
  <c r="N86" i="2"/>
  <c r="N89" i="2" s="1"/>
  <c r="M86" i="2"/>
  <c r="L86" i="2"/>
  <c r="L89" i="2" s="1"/>
  <c r="K86" i="2"/>
  <c r="J86" i="2"/>
  <c r="J89" i="2" s="1"/>
  <c r="I86" i="2"/>
  <c r="H86" i="2"/>
  <c r="H89" i="2" s="1"/>
  <c r="G86" i="2"/>
  <c r="E86" i="2"/>
  <c r="E89" i="2" s="1"/>
  <c r="C84" i="2"/>
  <c r="T82" i="2"/>
  <c r="S82" i="2"/>
  <c r="R82" i="2"/>
  <c r="Q82" i="2"/>
  <c r="P82" i="2"/>
  <c r="O82" i="2"/>
  <c r="N82" i="2"/>
  <c r="M82" i="2"/>
  <c r="I82" i="2"/>
  <c r="H82" i="2"/>
  <c r="G82" i="2"/>
  <c r="F82" i="2"/>
  <c r="E82" i="2"/>
  <c r="D82" i="2"/>
  <c r="T81" i="2"/>
  <c r="S81" i="2"/>
  <c r="R81" i="2"/>
  <c r="Q81" i="2"/>
  <c r="P81" i="2"/>
  <c r="O81" i="2"/>
  <c r="N81" i="2"/>
  <c r="M81" i="2"/>
  <c r="L81" i="2"/>
  <c r="I81" i="2"/>
  <c r="H81" i="2"/>
  <c r="G81" i="2"/>
  <c r="F81" i="2"/>
  <c r="E81" i="2"/>
  <c r="D81" i="2"/>
  <c r="Q80" i="2"/>
  <c r="P80" i="2"/>
  <c r="O80" i="2"/>
  <c r="N80" i="2"/>
  <c r="M80" i="2"/>
  <c r="L80" i="2"/>
  <c r="J80" i="2"/>
  <c r="G80" i="2"/>
  <c r="F80" i="2"/>
  <c r="D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F79" i="2"/>
  <c r="E79" i="2"/>
  <c r="T78" i="2"/>
  <c r="S78" i="2"/>
  <c r="R78" i="2"/>
  <c r="Q78" i="2"/>
  <c r="P78" i="2"/>
  <c r="O78" i="2"/>
  <c r="N78" i="2"/>
  <c r="M78" i="2"/>
  <c r="K78" i="2"/>
  <c r="J78" i="2"/>
  <c r="I78" i="2"/>
  <c r="H78" i="2"/>
  <c r="G78" i="2"/>
  <c r="F78" i="2"/>
  <c r="E78" i="2"/>
  <c r="D78" i="2"/>
  <c r="T77" i="2"/>
  <c r="S77" i="2"/>
  <c r="S84" i="2" s="1"/>
  <c r="R77" i="2"/>
  <c r="Q77" i="2"/>
  <c r="Q84" i="2" s="1"/>
  <c r="Q90" i="2" s="1"/>
  <c r="P77" i="2"/>
  <c r="O77" i="2"/>
  <c r="O84" i="2" s="1"/>
  <c r="N77" i="2"/>
  <c r="M77" i="2"/>
  <c r="M84" i="2" s="1"/>
  <c r="L77" i="2"/>
  <c r="K77" i="2"/>
  <c r="K84" i="2" s="1"/>
  <c r="J77" i="2"/>
  <c r="I77" i="2"/>
  <c r="H77" i="2"/>
  <c r="G77" i="2"/>
  <c r="F77" i="2"/>
  <c r="E77" i="2"/>
  <c r="D77" i="2"/>
  <c r="T76" i="2"/>
  <c r="T84" i="2" s="1"/>
  <c r="S76" i="2"/>
  <c r="R76" i="2"/>
  <c r="R84" i="2" s="1"/>
  <c r="Q76" i="2"/>
  <c r="P76" i="2"/>
  <c r="P84" i="2" s="1"/>
  <c r="O76" i="2"/>
  <c r="N76" i="2"/>
  <c r="N84" i="2" s="1"/>
  <c r="M76" i="2"/>
  <c r="L76" i="2"/>
  <c r="L84" i="2" s="1"/>
  <c r="J76" i="2"/>
  <c r="J84" i="2" s="1"/>
  <c r="I76" i="2"/>
  <c r="I84" i="2" s="1"/>
  <c r="H76" i="2"/>
  <c r="H84" i="2" s="1"/>
  <c r="G76" i="2"/>
  <c r="G84" i="2" s="1"/>
  <c r="F76" i="2"/>
  <c r="F84" i="2" s="1"/>
  <c r="E76" i="2"/>
  <c r="E84" i="2" s="1"/>
  <c r="D76" i="2"/>
  <c r="D84" i="2" s="1"/>
  <c r="C74" i="2"/>
  <c r="T72" i="2"/>
  <c r="S72" i="2"/>
  <c r="R72" i="2"/>
  <c r="Q72" i="2"/>
  <c r="P72" i="2"/>
  <c r="O72" i="2"/>
  <c r="N72" i="2"/>
  <c r="M72" i="2"/>
  <c r="I72" i="2"/>
  <c r="H72" i="2"/>
  <c r="G72" i="2"/>
  <c r="F72" i="2"/>
  <c r="E72" i="2"/>
  <c r="D72" i="2"/>
  <c r="T71" i="2"/>
  <c r="S71" i="2"/>
  <c r="R71" i="2"/>
  <c r="Q71" i="2"/>
  <c r="P71" i="2"/>
  <c r="O71" i="2"/>
  <c r="N71" i="2"/>
  <c r="M71" i="2"/>
  <c r="L71" i="2"/>
  <c r="I71" i="2"/>
  <c r="H71" i="2"/>
  <c r="G71" i="2"/>
  <c r="F71" i="2"/>
  <c r="E71" i="2"/>
  <c r="D71" i="2"/>
  <c r="D74" i="2" s="1"/>
  <c r="T70" i="2"/>
  <c r="S70" i="2"/>
  <c r="Q70" i="2"/>
  <c r="P70" i="2"/>
  <c r="N70" i="2"/>
  <c r="M70" i="2"/>
  <c r="K70" i="2"/>
  <c r="J70" i="2"/>
  <c r="I70" i="2"/>
  <c r="H70" i="2"/>
  <c r="G70" i="2"/>
  <c r="F70" i="2"/>
  <c r="Q69" i="2"/>
  <c r="P69" i="2"/>
  <c r="O69" i="2"/>
  <c r="N69" i="2"/>
  <c r="M69" i="2"/>
  <c r="L69" i="2"/>
  <c r="J69" i="2"/>
  <c r="I69" i="2"/>
  <c r="G69" i="2"/>
  <c r="F69" i="2"/>
  <c r="D69" i="2"/>
  <c r="T68" i="2"/>
  <c r="T74" i="2" s="1"/>
  <c r="S68" i="2"/>
  <c r="R68" i="2"/>
  <c r="R74" i="2" s="1"/>
  <c r="Q68" i="2"/>
  <c r="Q74" i="2" s="1"/>
  <c r="P68" i="2"/>
  <c r="P74" i="2" s="1"/>
  <c r="O68" i="2"/>
  <c r="O74" i="2" s="1"/>
  <c r="N68" i="2"/>
  <c r="N74" i="2" s="1"/>
  <c r="M68" i="2"/>
  <c r="L68" i="2"/>
  <c r="L74" i="2" s="1"/>
  <c r="K68" i="2"/>
  <c r="K74" i="2" s="1"/>
  <c r="J68" i="2"/>
  <c r="J74" i="2" s="1"/>
  <c r="I68" i="2"/>
  <c r="H68" i="2"/>
  <c r="H74" i="2" s="1"/>
  <c r="G68" i="2"/>
  <c r="F68" i="2"/>
  <c r="F74" i="2" s="1"/>
  <c r="E68" i="2"/>
  <c r="R62" i="2"/>
  <c r="P62" i="2"/>
  <c r="N62" i="2"/>
  <c r="L62" i="2"/>
  <c r="J62" i="2"/>
  <c r="J63" i="2" s="1"/>
  <c r="F62" i="2"/>
  <c r="F63" i="2" s="1"/>
  <c r="C62" i="2"/>
  <c r="T60" i="2"/>
  <c r="T62" i="2" s="1"/>
  <c r="T63" i="2" s="1"/>
  <c r="S60" i="2"/>
  <c r="Q60" i="2"/>
  <c r="P60" i="2"/>
  <c r="N60" i="2"/>
  <c r="M60" i="2"/>
  <c r="K60" i="2"/>
  <c r="K62" i="2" s="1"/>
  <c r="J60" i="2"/>
  <c r="H60" i="2"/>
  <c r="T59" i="2"/>
  <c r="S59" i="2"/>
  <c r="S62" i="2" s="1"/>
  <c r="R59" i="2"/>
  <c r="Q59" i="2"/>
  <c r="Q62" i="2" s="1"/>
  <c r="P59" i="2"/>
  <c r="O59" i="2"/>
  <c r="O62" i="2" s="1"/>
  <c r="N59" i="2"/>
  <c r="M59" i="2"/>
  <c r="M62" i="2" s="1"/>
  <c r="L59" i="2"/>
  <c r="J59" i="2"/>
  <c r="I59" i="2"/>
  <c r="I62" i="2" s="1"/>
  <c r="H59" i="2"/>
  <c r="H62" i="2" s="1"/>
  <c r="H63" i="2" s="1"/>
  <c r="G59" i="2"/>
  <c r="G62" i="2" s="1"/>
  <c r="F59" i="2"/>
  <c r="E59" i="2"/>
  <c r="E62" i="2" s="1"/>
  <c r="D59" i="2"/>
  <c r="D62" i="2" s="1"/>
  <c r="D63" i="2" s="1"/>
  <c r="K56" i="2"/>
  <c r="C56" i="2"/>
  <c r="T54" i="2"/>
  <c r="S54" i="2"/>
  <c r="R54" i="2"/>
  <c r="Q54" i="2"/>
  <c r="P54" i="2"/>
  <c r="O54" i="2"/>
  <c r="N54" i="2"/>
  <c r="M54" i="2"/>
  <c r="I54" i="2"/>
  <c r="H54" i="2"/>
  <c r="G54" i="2"/>
  <c r="F54" i="2"/>
  <c r="E54" i="2"/>
  <c r="D54" i="2"/>
  <c r="T53" i="2"/>
  <c r="S53" i="2"/>
  <c r="R53" i="2"/>
  <c r="Q53" i="2"/>
  <c r="P53" i="2"/>
  <c r="O53" i="2"/>
  <c r="N53" i="2"/>
  <c r="M53" i="2"/>
  <c r="L53" i="2"/>
  <c r="I53" i="2"/>
  <c r="I56" i="2" s="1"/>
  <c r="H53" i="2"/>
  <c r="G53" i="2"/>
  <c r="F53" i="2"/>
  <c r="E53" i="2"/>
  <c r="D53" i="2"/>
  <c r="Q52" i="2"/>
  <c r="P52" i="2"/>
  <c r="O52" i="2"/>
  <c r="N52" i="2"/>
  <c r="M52" i="2"/>
  <c r="L52" i="2"/>
  <c r="J52" i="2"/>
  <c r="I52" i="2"/>
  <c r="G52" i="2"/>
  <c r="G56" i="2" s="1"/>
  <c r="F52" i="2"/>
  <c r="D52" i="2"/>
  <c r="T51" i="2"/>
  <c r="R51" i="2"/>
  <c r="P51" i="2"/>
  <c r="N51" i="2"/>
  <c r="M51" i="2"/>
  <c r="L51" i="2"/>
  <c r="K51" i="2"/>
  <c r="H51" i="2"/>
  <c r="G51" i="2"/>
  <c r="F51" i="2"/>
  <c r="E51" i="2"/>
  <c r="D51" i="2"/>
  <c r="T50" i="2"/>
  <c r="S50" i="2"/>
  <c r="R50" i="2"/>
  <c r="Q50" i="2"/>
  <c r="P50" i="2"/>
  <c r="O50" i="2"/>
  <c r="N50" i="2"/>
  <c r="M50" i="2"/>
  <c r="L50" i="2"/>
  <c r="J50" i="2"/>
  <c r="I50" i="2"/>
  <c r="H50" i="2"/>
  <c r="G50" i="2"/>
  <c r="E50" i="2"/>
  <c r="E56" i="2" s="1"/>
  <c r="T49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T48" i="2"/>
  <c r="T56" i="2" s="1"/>
  <c r="S48" i="2"/>
  <c r="S56" i="2" s="1"/>
  <c r="R48" i="2"/>
  <c r="Q48" i="2"/>
  <c r="Q56" i="2" s="1"/>
  <c r="P48" i="2"/>
  <c r="P56" i="2" s="1"/>
  <c r="P63" i="2" s="1"/>
  <c r="O48" i="2"/>
  <c r="O56" i="2" s="1"/>
  <c r="N48" i="2"/>
  <c r="M48" i="2"/>
  <c r="M56" i="2" s="1"/>
  <c r="L48" i="2"/>
  <c r="J48" i="2"/>
  <c r="J56" i="2" s="1"/>
  <c r="I48" i="2"/>
  <c r="H48" i="2"/>
  <c r="H56" i="2" s="1"/>
  <c r="G48" i="2"/>
  <c r="F48" i="2"/>
  <c r="F56" i="2" s="1"/>
  <c r="E48" i="2"/>
  <c r="D48" i="2"/>
  <c r="D56" i="2" s="1"/>
  <c r="Q46" i="2"/>
  <c r="M46" i="2"/>
  <c r="I46" i="2"/>
  <c r="E46" i="2"/>
  <c r="C46" i="2"/>
  <c r="T44" i="2"/>
  <c r="S44" i="2"/>
  <c r="R44" i="2"/>
  <c r="Q44" i="2"/>
  <c r="P44" i="2"/>
  <c r="O44" i="2"/>
  <c r="N44" i="2"/>
  <c r="M44" i="2"/>
  <c r="I44" i="2"/>
  <c r="H44" i="2"/>
  <c r="F44" i="2"/>
  <c r="E44" i="2"/>
  <c r="T43" i="2"/>
  <c r="S43" i="2"/>
  <c r="R43" i="2"/>
  <c r="Q43" i="2"/>
  <c r="P43" i="2"/>
  <c r="O43" i="2"/>
  <c r="N43" i="2"/>
  <c r="M43" i="2"/>
  <c r="L43" i="2"/>
  <c r="I43" i="2"/>
  <c r="H43" i="2"/>
  <c r="G43" i="2"/>
  <c r="S42" i="2"/>
  <c r="Q42" i="2"/>
  <c r="P42" i="2"/>
  <c r="O42" i="2"/>
  <c r="N42" i="2"/>
  <c r="M42" i="2"/>
  <c r="L42" i="2"/>
  <c r="K42" i="2"/>
  <c r="J42" i="2"/>
  <c r="I42" i="2"/>
  <c r="H42" i="2"/>
  <c r="G42" i="2"/>
  <c r="G46" i="2" s="1"/>
  <c r="E42" i="2"/>
  <c r="D42" i="2"/>
  <c r="T41" i="2"/>
  <c r="S41" i="2"/>
  <c r="R41" i="2"/>
  <c r="Q41" i="2"/>
  <c r="P41" i="2"/>
  <c r="O41" i="2"/>
  <c r="N41" i="2"/>
  <c r="M41" i="2"/>
  <c r="L41" i="2"/>
  <c r="J41" i="2"/>
  <c r="I41" i="2"/>
  <c r="H41" i="2"/>
  <c r="G41" i="2"/>
  <c r="F41" i="2"/>
  <c r="E41" i="2"/>
  <c r="D41" i="2"/>
  <c r="D46" i="2" s="1"/>
  <c r="T40" i="2"/>
  <c r="T46" i="2" s="1"/>
  <c r="S40" i="2"/>
  <c r="S46" i="2" s="1"/>
  <c r="R40" i="2"/>
  <c r="R46" i="2" s="1"/>
  <c r="Q40" i="2"/>
  <c r="P40" i="2"/>
  <c r="P46" i="2" s="1"/>
  <c r="O40" i="2"/>
  <c r="O46" i="2" s="1"/>
  <c r="N40" i="2"/>
  <c r="N46" i="2" s="1"/>
  <c r="M40" i="2"/>
  <c r="L40" i="2"/>
  <c r="L46" i="2" s="1"/>
  <c r="K40" i="2"/>
  <c r="K46" i="2" s="1"/>
  <c r="J40" i="2"/>
  <c r="J46" i="2" s="1"/>
  <c r="I40" i="2"/>
  <c r="H40" i="2"/>
  <c r="H46" i="2" s="1"/>
  <c r="F40" i="2"/>
  <c r="F46" i="2" s="1"/>
  <c r="Q34" i="2"/>
  <c r="Q35" i="2" s="1"/>
  <c r="M34" i="2"/>
  <c r="M35" i="2" s="1"/>
  <c r="K34" i="2"/>
  <c r="I34" i="2"/>
  <c r="G34" i="2"/>
  <c r="E34" i="2"/>
  <c r="C34" i="2"/>
  <c r="T32" i="2"/>
  <c r="S32" i="2"/>
  <c r="R32" i="2"/>
  <c r="O32" i="2"/>
  <c r="N32" i="2"/>
  <c r="M32" i="2"/>
  <c r="L32" i="2"/>
  <c r="J32" i="2"/>
  <c r="I32" i="2"/>
  <c r="H32" i="2"/>
  <c r="E32" i="2"/>
  <c r="D32" i="2"/>
  <c r="T31" i="2"/>
  <c r="T34" i="2" s="1"/>
  <c r="S31" i="2"/>
  <c r="S34" i="2" s="1"/>
  <c r="R31" i="2"/>
  <c r="R34" i="2" s="1"/>
  <c r="Q31" i="2"/>
  <c r="P31" i="2"/>
  <c r="P34" i="2" s="1"/>
  <c r="O31" i="2"/>
  <c r="O34" i="2" s="1"/>
  <c r="N31" i="2"/>
  <c r="N34" i="2" s="1"/>
  <c r="M31" i="2"/>
  <c r="L31" i="2"/>
  <c r="L34" i="2" s="1"/>
  <c r="J31" i="2"/>
  <c r="J34" i="2" s="1"/>
  <c r="I31" i="2"/>
  <c r="H31" i="2"/>
  <c r="H34" i="2" s="1"/>
  <c r="G31" i="2"/>
  <c r="F31" i="2"/>
  <c r="F34" i="2" s="1"/>
  <c r="D31" i="2"/>
  <c r="D34" i="2" s="1"/>
  <c r="C29" i="2"/>
  <c r="T27" i="2"/>
  <c r="S27" i="2"/>
  <c r="R27" i="2"/>
  <c r="Q27" i="2"/>
  <c r="P27" i="2"/>
  <c r="O27" i="2"/>
  <c r="N27" i="2"/>
  <c r="M27" i="2"/>
  <c r="L27" i="2"/>
  <c r="I27" i="2"/>
  <c r="H27" i="2"/>
  <c r="G27" i="2"/>
  <c r="F27" i="2"/>
  <c r="E27" i="2"/>
  <c r="D27" i="2"/>
  <c r="T26" i="2"/>
  <c r="S26" i="2"/>
  <c r="R26" i="2"/>
  <c r="Q26" i="2"/>
  <c r="P26" i="2"/>
  <c r="O26" i="2"/>
  <c r="N26" i="2"/>
  <c r="M26" i="2"/>
  <c r="I26" i="2"/>
  <c r="H26" i="2"/>
  <c r="G26" i="2"/>
  <c r="F26" i="2"/>
  <c r="E26" i="2"/>
  <c r="T25" i="2"/>
  <c r="O25" i="2"/>
  <c r="N25" i="2"/>
  <c r="G25" i="2"/>
  <c r="T24" i="2"/>
  <c r="R24" i="2"/>
  <c r="P24" i="2"/>
  <c r="N24" i="2"/>
  <c r="M24" i="2"/>
  <c r="L24" i="2"/>
  <c r="K24" i="2"/>
  <c r="H24" i="2"/>
  <c r="G24" i="2"/>
  <c r="F24" i="2"/>
  <c r="E24" i="2"/>
  <c r="D24" i="2"/>
  <c r="T23" i="2"/>
  <c r="T29" i="2" s="1"/>
  <c r="S23" i="2"/>
  <c r="R23" i="2"/>
  <c r="R29" i="2" s="1"/>
  <c r="Q23" i="2"/>
  <c r="P23" i="2"/>
  <c r="P29" i="2" s="1"/>
  <c r="O23" i="2"/>
  <c r="N23" i="2"/>
  <c r="N29" i="2" s="1"/>
  <c r="M23" i="2"/>
  <c r="L23" i="2"/>
  <c r="L29" i="2" s="1"/>
  <c r="J23" i="2"/>
  <c r="I23" i="2"/>
  <c r="H23" i="2"/>
  <c r="G23" i="2"/>
  <c r="F23" i="2"/>
  <c r="E23" i="2"/>
  <c r="T22" i="2"/>
  <c r="S22" i="2"/>
  <c r="R22" i="2"/>
  <c r="Q22" i="2"/>
  <c r="P22" i="2"/>
  <c r="O22" i="2"/>
  <c r="N22" i="2"/>
  <c r="M22" i="2"/>
  <c r="K22" i="2"/>
  <c r="J22" i="2"/>
  <c r="I22" i="2"/>
  <c r="H22" i="2"/>
  <c r="G22" i="2"/>
  <c r="F22" i="2"/>
  <c r="E22" i="2"/>
  <c r="D22" i="2"/>
  <c r="T21" i="2"/>
  <c r="S21" i="2"/>
  <c r="R21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T20" i="2"/>
  <c r="S20" i="2"/>
  <c r="S29" i="2" s="1"/>
  <c r="R20" i="2"/>
  <c r="Q20" i="2"/>
  <c r="Q29" i="2" s="1"/>
  <c r="P20" i="2"/>
  <c r="O20" i="2"/>
  <c r="O29" i="2" s="1"/>
  <c r="N20" i="2"/>
  <c r="M20" i="2"/>
  <c r="M29" i="2" s="1"/>
  <c r="L20" i="2"/>
  <c r="J20" i="2"/>
  <c r="J29" i="2" s="1"/>
  <c r="I20" i="2"/>
  <c r="H20" i="2"/>
  <c r="H29" i="2" s="1"/>
  <c r="G20" i="2"/>
  <c r="F20" i="2"/>
  <c r="F29" i="2" s="1"/>
  <c r="E20" i="2"/>
  <c r="D20" i="2"/>
  <c r="D29" i="2" s="1"/>
  <c r="Q18" i="2"/>
  <c r="M18" i="2"/>
  <c r="C18" i="2"/>
  <c r="C35" i="2" s="1"/>
  <c r="T16" i="2"/>
  <c r="S16" i="2"/>
  <c r="R16" i="2"/>
  <c r="Q16" i="2"/>
  <c r="P16" i="2"/>
  <c r="O16" i="2"/>
  <c r="N16" i="2"/>
  <c r="M16" i="2"/>
  <c r="L16" i="2"/>
  <c r="J16" i="2"/>
  <c r="I16" i="2"/>
  <c r="H16" i="2"/>
  <c r="F16" i="2"/>
  <c r="E16" i="2"/>
  <c r="T15" i="2"/>
  <c r="S15" i="2"/>
  <c r="R15" i="2"/>
  <c r="Q15" i="2"/>
  <c r="P15" i="2"/>
  <c r="O15" i="2"/>
  <c r="N15" i="2"/>
  <c r="M15" i="2"/>
  <c r="I15" i="2"/>
  <c r="H15" i="2"/>
  <c r="G15" i="2"/>
  <c r="F15" i="2"/>
  <c r="E15" i="2"/>
  <c r="D15" i="2"/>
  <c r="T14" i="2"/>
  <c r="S14" i="2"/>
  <c r="S18" i="2" s="1"/>
  <c r="R14" i="2"/>
  <c r="Q14" i="2"/>
  <c r="P14" i="2"/>
  <c r="O14" i="2"/>
  <c r="O18" i="2" s="1"/>
  <c r="N14" i="2"/>
  <c r="M14" i="2"/>
  <c r="L14" i="2"/>
  <c r="I14" i="2"/>
  <c r="H14" i="2"/>
  <c r="G14" i="2"/>
  <c r="F14" i="2"/>
  <c r="E14" i="2"/>
  <c r="D14" i="2"/>
  <c r="T13" i="2"/>
  <c r="S13" i="2"/>
  <c r="Q13" i="2"/>
  <c r="P13" i="2"/>
  <c r="N13" i="2"/>
  <c r="M13" i="2"/>
  <c r="K13" i="2"/>
  <c r="K18" i="2" s="1"/>
  <c r="J13" i="2"/>
  <c r="I13" i="2"/>
  <c r="H13" i="2"/>
  <c r="G13" i="2"/>
  <c r="F13" i="2"/>
  <c r="E13" i="2"/>
  <c r="D13" i="2"/>
  <c r="T12" i="2"/>
  <c r="S12" i="2"/>
  <c r="R12" i="2"/>
  <c r="Q12" i="2"/>
  <c r="P12" i="2"/>
  <c r="O12" i="2"/>
  <c r="N12" i="2"/>
  <c r="M12" i="2"/>
  <c r="L12" i="2"/>
  <c r="J12" i="2"/>
  <c r="I12" i="2"/>
  <c r="I18" i="2" s="1"/>
  <c r="H12" i="2"/>
  <c r="G12" i="2"/>
  <c r="G18" i="2" s="1"/>
  <c r="F12" i="2"/>
  <c r="E12" i="2"/>
  <c r="E18" i="2" s="1"/>
  <c r="D12" i="2"/>
  <c r="D18" i="2" s="1"/>
  <c r="T11" i="2"/>
  <c r="T18" i="2" s="1"/>
  <c r="S11" i="2"/>
  <c r="R11" i="2"/>
  <c r="R18" i="2" s="1"/>
  <c r="Q11" i="2"/>
  <c r="P11" i="2"/>
  <c r="P18" i="2" s="1"/>
  <c r="O11" i="2"/>
  <c r="N11" i="2"/>
  <c r="N18" i="2" s="1"/>
  <c r="M11" i="2"/>
  <c r="L11" i="2"/>
  <c r="L18" i="2" s="1"/>
  <c r="K11" i="2"/>
  <c r="J11" i="2"/>
  <c r="J18" i="2" s="1"/>
  <c r="I11" i="2"/>
  <c r="H11" i="2"/>
  <c r="H18" i="2" s="1"/>
  <c r="G11" i="2"/>
  <c r="F11" i="2"/>
  <c r="F18" i="2" s="1"/>
  <c r="K90" i="2" l="1"/>
  <c r="O90" i="2"/>
  <c r="O35" i="2"/>
  <c r="S35" i="2"/>
  <c r="E29" i="2"/>
  <c r="E35" i="2" s="1"/>
  <c r="G29" i="2"/>
  <c r="G35" i="2" s="1"/>
  <c r="I29" i="2"/>
  <c r="I35" i="2" s="1"/>
  <c r="K29" i="2"/>
  <c r="K35" i="2" s="1"/>
  <c r="D35" i="2"/>
  <c r="L35" i="2"/>
  <c r="N35" i="2"/>
  <c r="P35" i="2"/>
  <c r="R35" i="2"/>
  <c r="T35" i="2"/>
  <c r="E63" i="2"/>
  <c r="G63" i="2"/>
  <c r="I63" i="2"/>
  <c r="C63" i="2"/>
  <c r="D90" i="2"/>
  <c r="E101" i="2"/>
  <c r="E119" i="2" s="1"/>
  <c r="G101" i="2"/>
  <c r="G119" i="2" s="1"/>
  <c r="I101" i="2"/>
  <c r="I119" i="2" s="1"/>
  <c r="D119" i="2"/>
  <c r="L119" i="2"/>
  <c r="N119" i="2"/>
  <c r="P119" i="2"/>
  <c r="H119" i="2"/>
  <c r="R119" i="2"/>
  <c r="T119" i="2"/>
  <c r="H147" i="2"/>
  <c r="R147" i="2"/>
  <c r="P147" i="2"/>
  <c r="E147" i="2"/>
  <c r="K147" i="2"/>
  <c r="T147" i="2"/>
  <c r="H175" i="2"/>
  <c r="J175" i="2"/>
  <c r="L175" i="2"/>
  <c r="N175" i="2"/>
  <c r="P175" i="2"/>
  <c r="R175" i="2"/>
  <c r="T175" i="2"/>
  <c r="E175" i="2"/>
  <c r="F203" i="2"/>
  <c r="J203" i="2"/>
  <c r="H203" i="2"/>
  <c r="P203" i="2"/>
  <c r="T203" i="2"/>
  <c r="L286" i="2"/>
  <c r="E319" i="2"/>
  <c r="Q319" i="2"/>
  <c r="H346" i="2"/>
  <c r="F401" i="2"/>
  <c r="H401" i="2"/>
  <c r="J401" i="2"/>
  <c r="P401" i="2"/>
  <c r="D401" i="2"/>
  <c r="N401" i="2"/>
  <c r="F35" i="2"/>
  <c r="H35" i="2"/>
  <c r="J35" i="2"/>
  <c r="L56" i="2"/>
  <c r="L63" i="2" s="1"/>
  <c r="N56" i="2"/>
  <c r="N63" i="2" s="1"/>
  <c r="R56" i="2"/>
  <c r="R63" i="2" s="1"/>
  <c r="M63" i="2"/>
  <c r="O63" i="2"/>
  <c r="Q63" i="2"/>
  <c r="S63" i="2"/>
  <c r="K63" i="2"/>
  <c r="E74" i="2"/>
  <c r="E90" i="2" s="1"/>
  <c r="G74" i="2"/>
  <c r="G90" i="2" s="1"/>
  <c r="I74" i="2"/>
  <c r="I90" i="2" s="1"/>
  <c r="M74" i="2"/>
  <c r="M90" i="2" s="1"/>
  <c r="S74" i="2"/>
  <c r="S90" i="2" s="1"/>
  <c r="H90" i="2"/>
  <c r="J90" i="2"/>
  <c r="L90" i="2"/>
  <c r="N90" i="2"/>
  <c r="P90" i="2"/>
  <c r="R90" i="2"/>
  <c r="T90" i="2"/>
  <c r="F90" i="2"/>
  <c r="J119" i="2"/>
  <c r="F119" i="2"/>
  <c r="G131" i="2"/>
  <c r="I131" i="2"/>
  <c r="M131" i="2"/>
  <c r="O131" i="2"/>
  <c r="Q131" i="2"/>
  <c r="S131" i="2"/>
  <c r="D141" i="2"/>
  <c r="F141" i="2"/>
  <c r="F147" i="2" s="1"/>
  <c r="D147" i="2"/>
  <c r="G147" i="2"/>
  <c r="I147" i="2"/>
  <c r="N147" i="2"/>
  <c r="Q147" i="2"/>
  <c r="S147" i="2"/>
  <c r="M147" i="2"/>
  <c r="O147" i="2"/>
  <c r="C147" i="2"/>
  <c r="J147" i="2"/>
  <c r="L147" i="2"/>
  <c r="G175" i="2"/>
  <c r="I175" i="2"/>
  <c r="K175" i="2"/>
  <c r="M175" i="2"/>
  <c r="O175" i="2"/>
  <c r="Q175" i="2"/>
  <c r="S175" i="2"/>
  <c r="D175" i="2"/>
  <c r="F175" i="2"/>
  <c r="L203" i="2"/>
  <c r="R203" i="2"/>
  <c r="D203" i="2"/>
  <c r="N203" i="2"/>
  <c r="P258" i="2"/>
  <c r="D258" i="2"/>
  <c r="N286" i="2"/>
  <c r="O319" i="2"/>
  <c r="S319" i="2"/>
  <c r="G319" i="2"/>
  <c r="I319" i="2"/>
  <c r="M319" i="2"/>
  <c r="D346" i="2"/>
  <c r="J346" i="2"/>
  <c r="L346" i="2"/>
  <c r="P346" i="2"/>
  <c r="T346" i="2"/>
  <c r="D374" i="2"/>
  <c r="L374" i="2"/>
  <c r="P374" i="2"/>
  <c r="T374" i="2"/>
  <c r="H374" i="2"/>
  <c r="L401" i="2"/>
  <c r="R401" i="2"/>
  <c r="O203" i="2"/>
  <c r="C203" i="2"/>
  <c r="M230" i="2"/>
  <c r="C230" i="2"/>
  <c r="S258" i="2"/>
  <c r="M286" i="2"/>
  <c r="C286" i="2"/>
  <c r="M346" i="2"/>
  <c r="Q346" i="2"/>
  <c r="I374" i="2"/>
  <c r="M401" i="2"/>
  <c r="Q401" i="2"/>
  <c r="P429" i="2"/>
  <c r="L456" i="2"/>
  <c r="M203" i="2"/>
  <c r="S203" i="2"/>
  <c r="E203" i="2"/>
  <c r="K203" i="2"/>
  <c r="Q203" i="2"/>
  <c r="O230" i="2"/>
  <c r="O258" i="2"/>
  <c r="O286" i="2"/>
  <c r="K346" i="2"/>
  <c r="O346" i="2"/>
  <c r="S346" i="2"/>
  <c r="Q374" i="2"/>
  <c r="K374" i="2"/>
  <c r="S401" i="2"/>
  <c r="K401" i="2"/>
  <c r="N456" i="2"/>
  <c r="P456" i="2"/>
  <c r="T456" i="2"/>
  <c r="G483" i="2"/>
  <c r="E511" i="2"/>
  <c r="P511" i="2"/>
  <c r="T511" i="2"/>
  <c r="D538" i="2"/>
  <c r="F538" i="2"/>
  <c r="L538" i="2"/>
  <c r="N538" i="2"/>
  <c r="P538" i="2"/>
  <c r="T538" i="2"/>
  <c r="I565" i="2"/>
  <c r="N565" i="2"/>
  <c r="P565" i="2"/>
  <c r="H565" i="2"/>
  <c r="S565" i="2"/>
  <c r="G203" i="2"/>
  <c r="I203" i="2"/>
  <c r="L224" i="2"/>
  <c r="L230" i="2" s="1"/>
  <c r="N224" i="2"/>
  <c r="N230" i="2" s="1"/>
  <c r="R224" i="2"/>
  <c r="R230" i="2" s="1"/>
  <c r="T224" i="2"/>
  <c r="T230" i="2" s="1"/>
  <c r="E230" i="2"/>
  <c r="I230" i="2"/>
  <c r="Q230" i="2"/>
  <c r="S230" i="2"/>
  <c r="G230" i="2"/>
  <c r="K230" i="2"/>
  <c r="I257" i="2"/>
  <c r="I258" i="2" s="1"/>
  <c r="K258" i="2"/>
  <c r="Q258" i="2"/>
  <c r="G258" i="2"/>
  <c r="M258" i="2"/>
  <c r="C258" i="2"/>
  <c r="E258" i="2"/>
  <c r="D280" i="2"/>
  <c r="D286" i="2" s="1"/>
  <c r="F280" i="2"/>
  <c r="F286" i="2" s="1"/>
  <c r="H280" i="2"/>
  <c r="H286" i="2" s="1"/>
  <c r="J280" i="2"/>
  <c r="J286" i="2" s="1"/>
  <c r="P280" i="2"/>
  <c r="P286" i="2" s="1"/>
  <c r="T280" i="2"/>
  <c r="T286" i="2" s="1"/>
  <c r="E286" i="2"/>
  <c r="G286" i="2"/>
  <c r="S286" i="2"/>
  <c r="I286" i="2"/>
  <c r="Q286" i="2"/>
  <c r="K286" i="2"/>
  <c r="T313" i="2"/>
  <c r="T319" i="2" s="1"/>
  <c r="D319" i="2"/>
  <c r="F319" i="2"/>
  <c r="H319" i="2"/>
  <c r="J319" i="2"/>
  <c r="E340" i="2"/>
  <c r="E346" i="2" s="1"/>
  <c r="G340" i="2"/>
  <c r="G346" i="2" s="1"/>
  <c r="I340" i="2"/>
  <c r="I346" i="2" s="1"/>
  <c r="C346" i="2"/>
  <c r="M374" i="2"/>
  <c r="O374" i="2"/>
  <c r="S374" i="2"/>
  <c r="G374" i="2"/>
  <c r="E385" i="2"/>
  <c r="G385" i="2"/>
  <c r="E401" i="2"/>
  <c r="G400" i="2"/>
  <c r="G401" i="2" s="1"/>
  <c r="I401" i="2"/>
  <c r="O400" i="2"/>
  <c r="O401" i="2" s="1"/>
  <c r="T401" i="2"/>
  <c r="D429" i="2"/>
  <c r="F429" i="2"/>
  <c r="H429" i="2"/>
  <c r="J429" i="2"/>
  <c r="L429" i="2"/>
  <c r="N429" i="2"/>
  <c r="I456" i="2"/>
  <c r="Q456" i="2"/>
  <c r="N511" i="2"/>
  <c r="F511" i="2"/>
  <c r="Q565" i="2"/>
  <c r="R429" i="2"/>
  <c r="T429" i="2"/>
  <c r="H440" i="2"/>
  <c r="H456" i="2" s="1"/>
  <c r="J440" i="2"/>
  <c r="J456" i="2" s="1"/>
  <c r="D440" i="2"/>
  <c r="D456" i="2" s="1"/>
  <c r="F440" i="2"/>
  <c r="F456" i="2" s="1"/>
  <c r="H482" i="2"/>
  <c r="H483" i="2" s="1"/>
  <c r="J482" i="2"/>
  <c r="J483" i="2" s="1"/>
  <c r="L483" i="2"/>
  <c r="N483" i="2"/>
  <c r="P483" i="2"/>
  <c r="R483" i="2"/>
  <c r="T483" i="2"/>
  <c r="G494" i="2"/>
  <c r="G511" i="2" s="1"/>
  <c r="I494" i="2"/>
  <c r="K494" i="2"/>
  <c r="M494" i="2"/>
  <c r="M511" i="2" s="1"/>
  <c r="O494" i="2"/>
  <c r="O511" i="2" s="1"/>
  <c r="Q494" i="2"/>
  <c r="D511" i="2"/>
  <c r="H511" i="2"/>
  <c r="L511" i="2"/>
  <c r="O565" i="2"/>
  <c r="C565" i="2"/>
  <c r="G565" i="2"/>
  <c r="T565" i="2"/>
  <c r="I511" i="2"/>
  <c r="K511" i="2"/>
  <c r="Q511" i="2"/>
  <c r="S511" i="2"/>
  <c r="C538" i="2"/>
  <c r="E538" i="2"/>
  <c r="G538" i="2"/>
  <c r="I538" i="2"/>
  <c r="K538" i="2"/>
  <c r="M538" i="2"/>
  <c r="O538" i="2"/>
  <c r="Q538" i="2"/>
  <c r="S538" i="2"/>
  <c r="D565" i="2"/>
  <c r="F565" i="2"/>
  <c r="R565" i="2"/>
  <c r="J565" i="2"/>
  <c r="L565" i="2"/>
  <c r="D351" i="1"/>
  <c r="G282" i="1"/>
  <c r="F282" i="1"/>
  <c r="E282" i="1"/>
  <c r="E239" i="1"/>
  <c r="F307" i="1"/>
  <c r="G526" i="1"/>
  <c r="G528" i="1"/>
  <c r="D543" i="1" l="1"/>
  <c r="G192" i="1" l="1"/>
  <c r="F192" i="1"/>
  <c r="E192" i="1"/>
  <c r="D192" i="1"/>
  <c r="G191" i="1"/>
  <c r="F191" i="1"/>
  <c r="E191" i="1"/>
  <c r="D191" i="1"/>
  <c r="F185" i="1"/>
  <c r="C131" i="1"/>
  <c r="F129" i="1"/>
  <c r="D562" i="1"/>
  <c r="G561" i="1"/>
  <c r="F561" i="1"/>
  <c r="E561" i="1"/>
  <c r="D561" i="1"/>
  <c r="G557" i="1"/>
  <c r="F557" i="1"/>
  <c r="E557" i="1"/>
  <c r="D557" i="1"/>
  <c r="G556" i="1"/>
  <c r="F556" i="1"/>
  <c r="E556" i="1"/>
  <c r="D556" i="1"/>
  <c r="G555" i="1"/>
  <c r="F555" i="1"/>
  <c r="E555" i="1"/>
  <c r="D555" i="1"/>
  <c r="G554" i="1"/>
  <c r="F554" i="1"/>
  <c r="E553" i="1"/>
  <c r="D553" i="1"/>
  <c r="G552" i="1"/>
  <c r="F552" i="1"/>
  <c r="E552" i="1"/>
  <c r="D552" i="1"/>
  <c r="G551" i="1"/>
  <c r="F551" i="1"/>
  <c r="E551" i="1"/>
  <c r="D551" i="1"/>
  <c r="G547" i="1"/>
  <c r="F547" i="1"/>
  <c r="E547" i="1"/>
  <c r="D547" i="1"/>
  <c r="G546" i="1"/>
  <c r="F546" i="1"/>
  <c r="E546" i="1"/>
  <c r="D546" i="1"/>
  <c r="G545" i="1"/>
  <c r="E545" i="1"/>
  <c r="D545" i="1"/>
  <c r="G544" i="1"/>
  <c r="F544" i="1"/>
  <c r="E544" i="1"/>
  <c r="D544" i="1"/>
  <c r="G543" i="1"/>
  <c r="E543" i="1"/>
  <c r="G530" i="1"/>
  <c r="F530" i="1"/>
  <c r="E530" i="1"/>
  <c r="D530" i="1"/>
  <c r="G529" i="1"/>
  <c r="F529" i="1"/>
  <c r="E529" i="1"/>
  <c r="D529" i="1"/>
  <c r="F528" i="1"/>
  <c r="D528" i="1"/>
  <c r="G527" i="1"/>
  <c r="F527" i="1"/>
  <c r="E527" i="1"/>
  <c r="D527" i="1"/>
  <c r="G525" i="1"/>
  <c r="F525" i="1"/>
  <c r="E525" i="1"/>
  <c r="D525" i="1"/>
  <c r="G524" i="1"/>
  <c r="F524" i="1"/>
  <c r="E524" i="1"/>
  <c r="D524" i="1"/>
  <c r="G520" i="1"/>
  <c r="F520" i="1"/>
  <c r="E520" i="1"/>
  <c r="D520" i="1"/>
  <c r="G519" i="1"/>
  <c r="F519" i="1"/>
  <c r="E519" i="1"/>
  <c r="F518" i="1"/>
  <c r="D518" i="1"/>
  <c r="F517" i="1"/>
  <c r="D517" i="1"/>
  <c r="F516" i="1"/>
  <c r="E516" i="1"/>
  <c r="G508" i="1"/>
  <c r="F508" i="1"/>
  <c r="D508" i="1"/>
  <c r="G503" i="1"/>
  <c r="F503" i="1"/>
  <c r="E503" i="1"/>
  <c r="D503" i="1"/>
  <c r="G502" i="1"/>
  <c r="F502" i="1"/>
  <c r="D502" i="1"/>
  <c r="G501" i="1"/>
  <c r="F501" i="1"/>
  <c r="D501" i="1"/>
  <c r="G500" i="1"/>
  <c r="F500" i="1"/>
  <c r="E500" i="1"/>
  <c r="D500" i="1"/>
  <c r="G499" i="1"/>
  <c r="F499" i="1"/>
  <c r="D499" i="1"/>
  <c r="G498" i="1"/>
  <c r="F498" i="1"/>
  <c r="G497" i="1"/>
  <c r="F497" i="1"/>
  <c r="E497" i="1"/>
  <c r="D497" i="1"/>
  <c r="G496" i="1"/>
  <c r="F496" i="1"/>
  <c r="E496" i="1"/>
  <c r="D496" i="1"/>
  <c r="G492" i="1"/>
  <c r="F492" i="1"/>
  <c r="E492" i="1"/>
  <c r="D492" i="1"/>
  <c r="G491" i="1"/>
  <c r="F491" i="1"/>
  <c r="E491" i="1"/>
  <c r="D491" i="1"/>
  <c r="G490" i="1"/>
  <c r="E490" i="1"/>
  <c r="D490" i="1"/>
  <c r="G489" i="1"/>
  <c r="E489" i="1"/>
  <c r="D489" i="1"/>
  <c r="G488" i="1"/>
  <c r="D488" i="1"/>
  <c r="G480" i="1"/>
  <c r="F480" i="1"/>
  <c r="E480" i="1"/>
  <c r="D480" i="1"/>
  <c r="F479" i="1"/>
  <c r="G475" i="1"/>
  <c r="F475" i="1"/>
  <c r="E475" i="1"/>
  <c r="D475" i="1"/>
  <c r="G474" i="1"/>
  <c r="F474" i="1"/>
  <c r="E474" i="1"/>
  <c r="D474" i="1"/>
  <c r="G473" i="1"/>
  <c r="F473" i="1"/>
  <c r="D473" i="1"/>
  <c r="G472" i="1"/>
  <c r="F472" i="1"/>
  <c r="E472" i="1"/>
  <c r="D472" i="1"/>
  <c r="G471" i="1"/>
  <c r="E471" i="1"/>
  <c r="G470" i="1"/>
  <c r="E470" i="1"/>
  <c r="G469" i="1"/>
  <c r="F469" i="1"/>
  <c r="E469" i="1"/>
  <c r="D469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F462" i="1"/>
  <c r="D462" i="1"/>
  <c r="F461" i="1"/>
  <c r="G453" i="1"/>
  <c r="F453" i="1"/>
  <c r="E453" i="1"/>
  <c r="D453" i="1"/>
  <c r="G452" i="1"/>
  <c r="D452" i="1"/>
  <c r="G448" i="1"/>
  <c r="F448" i="1"/>
  <c r="E448" i="1"/>
  <c r="D448" i="1"/>
  <c r="G447" i="1"/>
  <c r="F447" i="1"/>
  <c r="E447" i="1"/>
  <c r="D447" i="1"/>
  <c r="G446" i="1"/>
  <c r="F446" i="1"/>
  <c r="D446" i="1"/>
  <c r="G445" i="1"/>
  <c r="F445" i="1"/>
  <c r="E445" i="1"/>
  <c r="D445" i="1"/>
  <c r="G444" i="1"/>
  <c r="F444" i="1"/>
  <c r="E444" i="1"/>
  <c r="G443" i="1"/>
  <c r="G442" i="1"/>
  <c r="F442" i="1"/>
  <c r="E442" i="1"/>
  <c r="D442" i="1"/>
  <c r="G438" i="1"/>
  <c r="F438" i="1"/>
  <c r="E438" i="1"/>
  <c r="D438" i="1"/>
  <c r="G437" i="1"/>
  <c r="F437" i="1"/>
  <c r="E437" i="1"/>
  <c r="D437" i="1"/>
  <c r="G436" i="1"/>
  <c r="E436" i="1"/>
  <c r="D436" i="1"/>
  <c r="G435" i="1"/>
  <c r="F435" i="1"/>
  <c r="E435" i="1"/>
  <c r="D435" i="1"/>
  <c r="E434" i="1"/>
  <c r="G426" i="1"/>
  <c r="G425" i="1"/>
  <c r="F425" i="1"/>
  <c r="E425" i="1"/>
  <c r="D425" i="1"/>
  <c r="G421" i="1" l="1"/>
  <c r="F421" i="1"/>
  <c r="E421" i="1"/>
  <c r="D421" i="1"/>
  <c r="G420" i="1"/>
  <c r="F420" i="1"/>
  <c r="E420" i="1"/>
  <c r="D420" i="1"/>
  <c r="G419" i="1"/>
  <c r="F419" i="1"/>
  <c r="E419" i="1"/>
  <c r="G418" i="1"/>
  <c r="F418" i="1"/>
  <c r="E418" i="1"/>
  <c r="D418" i="1"/>
  <c r="G417" i="1"/>
  <c r="E417" i="1"/>
  <c r="E416" i="1"/>
  <c r="D416" i="1"/>
  <c r="G415" i="1"/>
  <c r="F415" i="1"/>
  <c r="G414" i="1"/>
  <c r="F414" i="1"/>
  <c r="E414" i="1"/>
  <c r="D414" i="1"/>
  <c r="G410" i="1"/>
  <c r="F410" i="1"/>
  <c r="E410" i="1"/>
  <c r="D410" i="1"/>
  <c r="G409" i="1"/>
  <c r="F409" i="1"/>
  <c r="E409" i="1"/>
  <c r="D409" i="1"/>
  <c r="G408" i="1"/>
  <c r="F408" i="1"/>
  <c r="E408" i="1"/>
  <c r="G407" i="1"/>
  <c r="F407" i="1"/>
  <c r="D407" i="1"/>
  <c r="G406" i="1"/>
  <c r="D406" i="1"/>
  <c r="G398" i="1"/>
  <c r="F398" i="1"/>
  <c r="D398" i="1"/>
  <c r="G397" i="1"/>
  <c r="F397" i="1"/>
  <c r="E397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3" i="1"/>
  <c r="F383" i="1"/>
  <c r="E383" i="1"/>
  <c r="D383" i="1"/>
  <c r="G382" i="1"/>
  <c r="F382" i="1"/>
  <c r="E382" i="1"/>
  <c r="D382" i="1"/>
  <c r="G381" i="1"/>
  <c r="E381" i="1"/>
  <c r="D381" i="1"/>
  <c r="G380" i="1"/>
  <c r="F380" i="1"/>
  <c r="E380" i="1"/>
  <c r="D380" i="1"/>
  <c r="F379" i="1"/>
  <c r="D379" i="1"/>
  <c r="G371" i="1"/>
  <c r="F371" i="1"/>
  <c r="D371" i="1"/>
  <c r="D370" i="1"/>
  <c r="G366" i="1"/>
  <c r="F366" i="1"/>
  <c r="E366" i="1"/>
  <c r="D366" i="1"/>
  <c r="G365" i="1"/>
  <c r="F365" i="1"/>
  <c r="E365" i="1"/>
  <c r="D365" i="1"/>
  <c r="G364" i="1"/>
  <c r="E364" i="1"/>
  <c r="G363" i="1"/>
  <c r="F363" i="1"/>
  <c r="E363" i="1"/>
  <c r="D363" i="1"/>
  <c r="G362" i="1"/>
  <c r="F362" i="1"/>
  <c r="E362" i="1"/>
  <c r="D362" i="1"/>
  <c r="G361" i="1"/>
  <c r="E361" i="1"/>
  <c r="D361" i="1"/>
  <c r="G360" i="1"/>
  <c r="F360" i="1"/>
  <c r="E360" i="1"/>
  <c r="G359" i="1"/>
  <c r="F359" i="1"/>
  <c r="E359" i="1"/>
  <c r="D359" i="1"/>
  <c r="G355" i="1"/>
  <c r="F355" i="1"/>
  <c r="E355" i="1"/>
  <c r="D355" i="1"/>
  <c r="G354" i="1"/>
  <c r="F354" i="1"/>
  <c r="E354" i="1"/>
  <c r="D354" i="1"/>
  <c r="G353" i="1"/>
  <c r="G352" i="1"/>
  <c r="F352" i="1"/>
  <c r="E352" i="1"/>
  <c r="D352" i="1"/>
  <c r="G351" i="1"/>
  <c r="E351" i="1"/>
  <c r="G343" i="1"/>
  <c r="F343" i="1"/>
  <c r="D343" i="1"/>
  <c r="G342" i="1"/>
  <c r="F342" i="1"/>
  <c r="E342" i="1"/>
  <c r="D342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3" i="1"/>
  <c r="F333" i="1"/>
  <c r="E333" i="1"/>
  <c r="D333" i="1"/>
  <c r="G324" i="1"/>
  <c r="F324" i="1"/>
  <c r="D324" i="1"/>
  <c r="G332" i="1"/>
  <c r="F332" i="1"/>
  <c r="E332" i="1"/>
  <c r="D332" i="1"/>
  <c r="G328" i="1"/>
  <c r="E328" i="1"/>
  <c r="D328" i="1"/>
  <c r="G327" i="1"/>
  <c r="F327" i="1"/>
  <c r="E327" i="1"/>
  <c r="D327" i="1"/>
  <c r="G326" i="1"/>
  <c r="E326" i="1"/>
  <c r="D326" i="1"/>
  <c r="E325" i="1"/>
  <c r="D325" i="1"/>
  <c r="G316" i="1"/>
  <c r="F316" i="1"/>
  <c r="E316" i="1"/>
  <c r="G315" i="1" l="1"/>
  <c r="F315" i="1"/>
  <c r="E315" i="1"/>
  <c r="D315" i="1"/>
  <c r="G311" i="1" l="1"/>
  <c r="F311" i="1"/>
  <c r="E311" i="1"/>
  <c r="D311" i="1"/>
  <c r="G310" i="1"/>
  <c r="F310" i="1"/>
  <c r="E310" i="1"/>
  <c r="D310" i="1"/>
  <c r="G309" i="1"/>
  <c r="D309" i="1"/>
  <c r="D308" i="1"/>
  <c r="D307" i="1"/>
  <c r="G307" i="1"/>
  <c r="E307" i="1"/>
  <c r="G306" i="1"/>
  <c r="F306" i="1"/>
  <c r="E306" i="1"/>
  <c r="D306" i="1"/>
  <c r="G302" i="1"/>
  <c r="F302" i="1"/>
  <c r="E302" i="1"/>
  <c r="G301" i="1"/>
  <c r="F301" i="1"/>
  <c r="E301" i="1"/>
  <c r="D301" i="1"/>
  <c r="G300" i="1"/>
  <c r="F300" i="1"/>
  <c r="D300" i="1"/>
  <c r="G299" i="1"/>
  <c r="E299" i="1"/>
  <c r="G298" i="1"/>
  <c r="G283" i="1" l="1"/>
  <c r="G278" i="1"/>
  <c r="F278" i="1"/>
  <c r="E278" i="1"/>
  <c r="D278" i="1"/>
  <c r="G277" i="1"/>
  <c r="F277" i="1"/>
  <c r="E277" i="1"/>
  <c r="D277" i="1"/>
  <c r="G275" i="1"/>
  <c r="F275" i="1"/>
  <c r="E275" i="1"/>
  <c r="D275" i="1"/>
  <c r="G274" i="1"/>
  <c r="F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67" i="1"/>
  <c r="F267" i="1"/>
  <c r="E267" i="1"/>
  <c r="D267" i="1"/>
  <c r="G266" i="1"/>
  <c r="F266" i="1"/>
  <c r="E266" i="1"/>
  <c r="D266" i="1"/>
  <c r="G265" i="1"/>
  <c r="E265" i="1"/>
  <c r="G264" i="1"/>
  <c r="F264" i="1"/>
  <c r="E264" i="1"/>
  <c r="G263" i="1"/>
  <c r="F263" i="1"/>
  <c r="E263" i="1"/>
  <c r="D263" i="1"/>
  <c r="G255" i="1"/>
  <c r="F255" i="1"/>
  <c r="G250" i="1"/>
  <c r="F250" i="1"/>
  <c r="E250" i="1"/>
  <c r="D250" i="1"/>
  <c r="F249" i="1"/>
  <c r="E249" i="1"/>
  <c r="D249" i="1"/>
  <c r="G248" i="1"/>
  <c r="F248" i="1"/>
  <c r="D248" i="1"/>
  <c r="G247" i="1"/>
  <c r="F247" i="1"/>
  <c r="E247" i="1"/>
  <c r="D247" i="1"/>
  <c r="G246" i="1"/>
  <c r="F246" i="1"/>
  <c r="E246" i="1"/>
  <c r="D246" i="1"/>
  <c r="D245" i="1"/>
  <c r="G244" i="1"/>
  <c r="F244" i="1"/>
  <c r="E244" i="1"/>
  <c r="D244" i="1"/>
  <c r="G243" i="1"/>
  <c r="F243" i="1"/>
  <c r="E243" i="1"/>
  <c r="D243" i="1"/>
  <c r="G239" i="1"/>
  <c r="F239" i="1"/>
  <c r="G238" i="1"/>
  <c r="F238" i="1"/>
  <c r="E238" i="1"/>
  <c r="D238" i="1"/>
  <c r="G237" i="1"/>
  <c r="F237" i="1"/>
  <c r="E237" i="1"/>
  <c r="D237" i="1"/>
  <c r="G236" i="1"/>
  <c r="F236" i="1"/>
  <c r="D236" i="1"/>
  <c r="F235" i="1"/>
  <c r="D235" i="1"/>
  <c r="G227" i="1"/>
  <c r="F227" i="1"/>
  <c r="D227" i="1"/>
  <c r="E226" i="1"/>
  <c r="G222" i="1"/>
  <c r="F222" i="1"/>
  <c r="E222" i="1"/>
  <c r="D222" i="1"/>
  <c r="G221" i="1"/>
  <c r="F221" i="1"/>
  <c r="E221" i="1"/>
  <c r="D221" i="1"/>
  <c r="G220" i="1"/>
  <c r="F220" i="1"/>
  <c r="D220" i="1"/>
  <c r="G219" i="1"/>
  <c r="F219" i="1"/>
  <c r="E219" i="1"/>
  <c r="D219" i="1"/>
  <c r="D218" i="1"/>
  <c r="G217" i="1"/>
  <c r="F217" i="1"/>
  <c r="E217" i="1"/>
  <c r="D217" i="1"/>
  <c r="G216" i="1"/>
  <c r="F216" i="1"/>
  <c r="E216" i="1"/>
  <c r="D216" i="1"/>
  <c r="G212" i="1"/>
  <c r="F212" i="1"/>
  <c r="E212" i="1"/>
  <c r="D212" i="1"/>
  <c r="G211" i="1"/>
  <c r="F211" i="1"/>
  <c r="E211" i="1"/>
  <c r="D211" i="1"/>
  <c r="G210" i="1"/>
  <c r="E210" i="1"/>
  <c r="D210" i="1"/>
  <c r="G209" i="1"/>
  <c r="F209" i="1"/>
  <c r="E209" i="1"/>
  <c r="D209" i="1"/>
  <c r="G208" i="1"/>
  <c r="F208" i="1"/>
  <c r="E208" i="1"/>
  <c r="G199" i="1"/>
  <c r="D199" i="1"/>
  <c r="G195" i="1"/>
  <c r="F195" i="1"/>
  <c r="E195" i="1"/>
  <c r="D195" i="1"/>
  <c r="G194" i="1"/>
  <c r="F194" i="1"/>
  <c r="E194" i="1"/>
  <c r="D194" i="1"/>
  <c r="G193" i="1"/>
  <c r="F193" i="1"/>
  <c r="D193" i="1"/>
  <c r="G190" i="1"/>
  <c r="F190" i="1"/>
  <c r="E190" i="1"/>
  <c r="D190" i="1"/>
  <c r="G189" i="1"/>
  <c r="F189" i="1"/>
  <c r="E189" i="1"/>
  <c r="D189" i="1"/>
  <c r="G184" i="1"/>
  <c r="F184" i="1"/>
  <c r="E184" i="1"/>
  <c r="G183" i="1"/>
  <c r="F183" i="1"/>
  <c r="E183" i="1"/>
  <c r="D183" i="1"/>
  <c r="F182" i="1"/>
  <c r="E182" i="1"/>
  <c r="D182" i="1"/>
  <c r="G180" i="1"/>
  <c r="F180" i="1"/>
  <c r="E180" i="1"/>
  <c r="D180" i="1"/>
  <c r="G172" i="1"/>
  <c r="F172" i="1"/>
  <c r="E172" i="1"/>
  <c r="D172" i="1"/>
  <c r="G171" i="1"/>
  <c r="E171" i="1"/>
  <c r="G167" i="1"/>
  <c r="F167" i="1"/>
  <c r="E167" i="1"/>
  <c r="D167" i="1"/>
  <c r="G166" i="1"/>
  <c r="E166" i="1"/>
  <c r="D166" i="1"/>
  <c r="G164" i="1"/>
  <c r="F164" i="1"/>
  <c r="E164" i="1"/>
  <c r="D164" i="1"/>
  <c r="G163" i="1"/>
  <c r="F161" i="1"/>
  <c r="E161" i="1"/>
  <c r="G160" i="1"/>
  <c r="F160" i="1"/>
  <c r="E160" i="1"/>
  <c r="D160" i="1"/>
  <c r="G156" i="1"/>
  <c r="F156" i="1"/>
  <c r="E156" i="1"/>
  <c r="D156" i="1"/>
  <c r="G155" i="1"/>
  <c r="F155" i="1"/>
  <c r="E155" i="1"/>
  <c r="D155" i="1"/>
  <c r="G154" i="1"/>
  <c r="E154" i="1"/>
  <c r="G153" i="1"/>
  <c r="F153" i="1"/>
  <c r="E153" i="1"/>
  <c r="D153" i="1"/>
  <c r="G152" i="1"/>
  <c r="E152" i="1"/>
  <c r="D152" i="1"/>
  <c r="G144" i="1"/>
  <c r="F144" i="1"/>
  <c r="E144" i="1"/>
  <c r="G143" i="1"/>
  <c r="F143" i="1"/>
  <c r="D143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3" i="1"/>
  <c r="G128" i="1"/>
  <c r="F128" i="1"/>
  <c r="E128" i="1"/>
  <c r="D128" i="1"/>
  <c r="F127" i="1"/>
  <c r="E127" i="1"/>
  <c r="D127" i="1"/>
  <c r="F126" i="1"/>
  <c r="E126" i="1"/>
  <c r="D126" i="1"/>
  <c r="G125" i="1"/>
  <c r="F125" i="1"/>
  <c r="E125" i="1"/>
  <c r="D125" i="1"/>
  <c r="G124" i="1"/>
  <c r="F124" i="1"/>
  <c r="G116" i="1"/>
  <c r="E116" i="1"/>
  <c r="G115" i="1"/>
  <c r="D115" i="1"/>
  <c r="G109" i="1"/>
  <c r="F109" i="1"/>
  <c r="E109" i="1"/>
  <c r="E110" i="1"/>
  <c r="E111" i="1"/>
  <c r="D109" i="1"/>
  <c r="G111" i="1"/>
  <c r="F111" i="1"/>
  <c r="D111" i="1"/>
  <c r="G110" i="1"/>
  <c r="F110" i="1"/>
  <c r="D110" i="1"/>
  <c r="G108" i="1"/>
  <c r="F108" i="1"/>
  <c r="E108" i="1"/>
  <c r="D108" i="1"/>
  <c r="G107" i="1"/>
  <c r="E107" i="1"/>
  <c r="D107" i="1"/>
  <c r="G106" i="1"/>
  <c r="G105" i="1"/>
  <c r="F105" i="1"/>
  <c r="E105" i="1"/>
  <c r="D105" i="1"/>
  <c r="G104" i="1"/>
  <c r="F104" i="1"/>
  <c r="E104" i="1"/>
  <c r="D104" i="1"/>
  <c r="G99" i="1"/>
  <c r="F99" i="1"/>
  <c r="E99" i="1"/>
  <c r="D99" i="1"/>
  <c r="G98" i="1"/>
  <c r="F98" i="1"/>
  <c r="D98" i="1"/>
  <c r="G97" i="1"/>
  <c r="E97" i="1"/>
  <c r="D97" i="1"/>
  <c r="G96" i="1"/>
  <c r="F96" i="1"/>
  <c r="E96" i="1"/>
  <c r="D96" i="1"/>
  <c r="G95" i="1"/>
  <c r="F95" i="1"/>
  <c r="E95" i="1"/>
  <c r="D95" i="1"/>
  <c r="G87" i="1"/>
  <c r="F87" i="1"/>
  <c r="D87" i="1"/>
  <c r="G86" i="1"/>
  <c r="E86" i="1"/>
  <c r="G82" i="1"/>
  <c r="F82" i="1"/>
  <c r="E82" i="1"/>
  <c r="D82" i="1"/>
  <c r="G81" i="1"/>
  <c r="F81" i="1"/>
  <c r="E81" i="1"/>
  <c r="D81" i="1"/>
  <c r="G80" i="1"/>
  <c r="F80" i="1"/>
  <c r="D80" i="1"/>
  <c r="F79" i="1"/>
  <c r="E79" i="1"/>
  <c r="E131" i="1" l="1"/>
  <c r="G131" i="1"/>
  <c r="D131" i="1"/>
  <c r="F131" i="1"/>
  <c r="G197" i="1"/>
  <c r="G78" i="1"/>
  <c r="F78" i="1"/>
  <c r="E78" i="1"/>
  <c r="D78" i="1"/>
  <c r="G77" i="1" l="1"/>
  <c r="F77" i="1"/>
  <c r="E77" i="1"/>
  <c r="D77" i="1"/>
  <c r="G76" i="1"/>
  <c r="F76" i="1"/>
  <c r="E76" i="1"/>
  <c r="D76" i="1"/>
  <c r="G72" i="1"/>
  <c r="F72" i="1"/>
  <c r="E72" i="1"/>
  <c r="D72" i="1"/>
  <c r="G71" i="1"/>
  <c r="F71" i="1"/>
  <c r="E71" i="1"/>
  <c r="D71" i="1"/>
  <c r="G70" i="1"/>
  <c r="F70" i="1"/>
  <c r="G69" i="1"/>
  <c r="F69" i="1"/>
  <c r="D69" i="1"/>
  <c r="G68" i="1"/>
  <c r="F68" i="1"/>
  <c r="E68" i="1"/>
  <c r="G59" i="1"/>
  <c r="F59" i="1"/>
  <c r="E59" i="1"/>
  <c r="D59" i="1"/>
  <c r="G54" i="1"/>
  <c r="F54" i="1"/>
  <c r="E54" i="1"/>
  <c r="D54" i="1"/>
  <c r="G53" i="1"/>
  <c r="F53" i="1"/>
  <c r="E53" i="1"/>
  <c r="D53" i="1"/>
  <c r="G52" i="1"/>
  <c r="F52" i="1"/>
  <c r="D52" i="1"/>
  <c r="G51" i="1"/>
  <c r="F51" i="1"/>
  <c r="E51" i="1"/>
  <c r="D51" i="1"/>
  <c r="G50" i="1"/>
  <c r="E50" i="1"/>
  <c r="G49" i="1"/>
  <c r="F49" i="1"/>
  <c r="E49" i="1"/>
  <c r="D49" i="1"/>
  <c r="G48" i="1"/>
  <c r="F48" i="1"/>
  <c r="E48" i="1"/>
  <c r="D48" i="1"/>
  <c r="F44" i="1"/>
  <c r="E44" i="1"/>
  <c r="G43" i="1"/>
  <c r="G42" i="1"/>
  <c r="E42" i="1"/>
  <c r="D42" i="1"/>
  <c r="G41" i="1"/>
  <c r="F41" i="1"/>
  <c r="E41" i="1"/>
  <c r="D41" i="1"/>
  <c r="F40" i="1"/>
  <c r="E32" i="1"/>
  <c r="D32" i="1"/>
  <c r="G31" i="1"/>
  <c r="F31" i="1"/>
  <c r="D31" i="1"/>
  <c r="G27" i="1"/>
  <c r="F27" i="1"/>
  <c r="E27" i="1"/>
  <c r="D27" i="1"/>
  <c r="G26" i="1"/>
  <c r="F26" i="1"/>
  <c r="E26" i="1"/>
  <c r="G25" i="1"/>
  <c r="G24" i="1"/>
  <c r="F24" i="1"/>
  <c r="E24" i="1"/>
  <c r="D24" i="1"/>
  <c r="G23" i="1"/>
  <c r="F23" i="1"/>
  <c r="E23" i="1"/>
  <c r="G22" i="1"/>
  <c r="F22" i="1"/>
  <c r="E22" i="1"/>
  <c r="D22" i="1"/>
  <c r="G21" i="1"/>
  <c r="F21" i="1"/>
  <c r="E21" i="1"/>
  <c r="D21" i="1"/>
  <c r="G20" i="1"/>
  <c r="F20" i="1"/>
  <c r="E20" i="1" l="1"/>
  <c r="D20" i="1"/>
  <c r="F16" i="1" l="1"/>
  <c r="E16" i="1"/>
  <c r="G15" i="1"/>
  <c r="F15" i="1"/>
  <c r="E15" i="1"/>
  <c r="D15" i="1"/>
  <c r="G14" i="1"/>
  <c r="F14" i="1"/>
  <c r="D14" i="1"/>
  <c r="E14" i="1"/>
  <c r="G13" i="1"/>
  <c r="F13" i="1"/>
  <c r="E13" i="1"/>
  <c r="D13" i="1"/>
  <c r="G12" i="1"/>
  <c r="F12" i="1"/>
  <c r="E12" i="1"/>
  <c r="D12" i="1"/>
  <c r="G11" i="1"/>
  <c r="F11" i="1"/>
  <c r="G146" i="1" l="1"/>
  <c r="D146" i="1"/>
  <c r="E146" i="1"/>
  <c r="F146" i="1"/>
  <c r="D29" i="1"/>
  <c r="E29" i="1"/>
  <c r="F29" i="1"/>
  <c r="G29" i="1"/>
  <c r="G564" i="1" l="1"/>
  <c r="F564" i="1"/>
  <c r="E564" i="1"/>
  <c r="D564" i="1"/>
  <c r="C564" i="1"/>
  <c r="G559" i="1"/>
  <c r="F559" i="1"/>
  <c r="E559" i="1"/>
  <c r="D559" i="1"/>
  <c r="C559" i="1"/>
  <c r="G549" i="1"/>
  <c r="F549" i="1"/>
  <c r="E549" i="1"/>
  <c r="D549" i="1"/>
  <c r="C549" i="1"/>
  <c r="G537" i="1"/>
  <c r="F537" i="1"/>
  <c r="E537" i="1"/>
  <c r="D537" i="1"/>
  <c r="C537" i="1"/>
  <c r="G532" i="1"/>
  <c r="F532" i="1"/>
  <c r="E532" i="1"/>
  <c r="D532" i="1"/>
  <c r="C532" i="1"/>
  <c r="G522" i="1"/>
  <c r="F522" i="1"/>
  <c r="E522" i="1"/>
  <c r="D522" i="1"/>
  <c r="C522" i="1"/>
  <c r="G510" i="1"/>
  <c r="F510" i="1"/>
  <c r="E510" i="1"/>
  <c r="D510" i="1"/>
  <c r="C510" i="1"/>
  <c r="G505" i="1"/>
  <c r="F505" i="1"/>
  <c r="E505" i="1"/>
  <c r="D505" i="1"/>
  <c r="C505" i="1"/>
  <c r="G494" i="1"/>
  <c r="F494" i="1"/>
  <c r="E494" i="1"/>
  <c r="D494" i="1"/>
  <c r="C494" i="1"/>
  <c r="G482" i="1"/>
  <c r="F482" i="1"/>
  <c r="E482" i="1"/>
  <c r="D482" i="1"/>
  <c r="C482" i="1"/>
  <c r="G477" i="1"/>
  <c r="F477" i="1"/>
  <c r="E477" i="1"/>
  <c r="D477" i="1"/>
  <c r="C477" i="1"/>
  <c r="G467" i="1"/>
  <c r="F467" i="1"/>
  <c r="E467" i="1"/>
  <c r="D467" i="1"/>
  <c r="C467" i="1"/>
  <c r="G455" i="1"/>
  <c r="F455" i="1"/>
  <c r="E455" i="1"/>
  <c r="D455" i="1"/>
  <c r="C455" i="1"/>
  <c r="G450" i="1"/>
  <c r="F450" i="1"/>
  <c r="E450" i="1"/>
  <c r="D450" i="1"/>
  <c r="C450" i="1"/>
  <c r="G440" i="1"/>
  <c r="F440" i="1"/>
  <c r="E440" i="1"/>
  <c r="D440" i="1"/>
  <c r="C440" i="1"/>
  <c r="G428" i="1"/>
  <c r="F428" i="1"/>
  <c r="E428" i="1"/>
  <c r="D428" i="1"/>
  <c r="C428" i="1"/>
  <c r="G423" i="1"/>
  <c r="F423" i="1"/>
  <c r="E423" i="1"/>
  <c r="D423" i="1"/>
  <c r="C423" i="1"/>
  <c r="G412" i="1"/>
  <c r="F412" i="1"/>
  <c r="E412" i="1"/>
  <c r="D412" i="1"/>
  <c r="C412" i="1"/>
  <c r="G400" i="1"/>
  <c r="F400" i="1"/>
  <c r="E400" i="1"/>
  <c r="D400" i="1"/>
  <c r="C400" i="1"/>
  <c r="G395" i="1"/>
  <c r="F395" i="1"/>
  <c r="E395" i="1"/>
  <c r="D395" i="1"/>
  <c r="C395" i="1"/>
  <c r="G385" i="1"/>
  <c r="F385" i="1"/>
  <c r="E385" i="1"/>
  <c r="D385" i="1"/>
  <c r="C385" i="1"/>
  <c r="G373" i="1"/>
  <c r="F373" i="1"/>
  <c r="E373" i="1"/>
  <c r="D373" i="1"/>
  <c r="C373" i="1"/>
  <c r="G368" i="1"/>
  <c r="F368" i="1"/>
  <c r="E368" i="1"/>
  <c r="D368" i="1"/>
  <c r="C368" i="1"/>
  <c r="G357" i="1"/>
  <c r="F357" i="1"/>
  <c r="E357" i="1"/>
  <c r="D357" i="1"/>
  <c r="C357" i="1"/>
  <c r="G345" i="1"/>
  <c r="F345" i="1"/>
  <c r="E345" i="1"/>
  <c r="D345" i="1"/>
  <c r="C345" i="1"/>
  <c r="G340" i="1"/>
  <c r="F340" i="1"/>
  <c r="E340" i="1"/>
  <c r="D340" i="1"/>
  <c r="C340" i="1"/>
  <c r="G330" i="1"/>
  <c r="F330" i="1"/>
  <c r="E330" i="1"/>
  <c r="D330" i="1"/>
  <c r="C330" i="1"/>
  <c r="G318" i="1"/>
  <c r="F318" i="1"/>
  <c r="E318" i="1"/>
  <c r="D318" i="1"/>
  <c r="C318" i="1"/>
  <c r="G313" i="1"/>
  <c r="F313" i="1"/>
  <c r="E313" i="1"/>
  <c r="D313" i="1"/>
  <c r="C313" i="1"/>
  <c r="G304" i="1"/>
  <c r="F304" i="1"/>
  <c r="E304" i="1"/>
  <c r="D304" i="1"/>
  <c r="C304" i="1"/>
  <c r="C158" i="1"/>
  <c r="D158" i="1"/>
  <c r="E158" i="1"/>
  <c r="F158" i="1"/>
  <c r="G158" i="1"/>
  <c r="D89" i="1"/>
  <c r="E89" i="1"/>
  <c r="F89" i="1"/>
  <c r="G89" i="1"/>
  <c r="C89" i="1"/>
  <c r="D84" i="1"/>
  <c r="E84" i="1"/>
  <c r="F84" i="1"/>
  <c r="G84" i="1"/>
  <c r="C84" i="1"/>
  <c r="D74" i="1"/>
  <c r="E74" i="1"/>
  <c r="F74" i="1"/>
  <c r="G74" i="1"/>
  <c r="C74" i="1"/>
  <c r="D56" i="1"/>
  <c r="E56" i="1"/>
  <c r="F56" i="1"/>
  <c r="G56" i="1"/>
  <c r="C56" i="1"/>
  <c r="D46" i="1"/>
  <c r="E46" i="1"/>
  <c r="F46" i="1"/>
  <c r="G46" i="1"/>
  <c r="C46" i="1"/>
  <c r="C29" i="1"/>
  <c r="D90" i="1" l="1"/>
  <c r="F90" i="1"/>
  <c r="G90" i="1"/>
  <c r="E90" i="1"/>
  <c r="C90" i="1"/>
  <c r="C565" i="1"/>
  <c r="E565" i="1"/>
  <c r="G565" i="1"/>
  <c r="D565" i="1"/>
  <c r="F565" i="1"/>
  <c r="E538" i="1"/>
  <c r="C538" i="1"/>
  <c r="G538" i="1"/>
  <c r="D538" i="1"/>
  <c r="F538" i="1"/>
  <c r="C511" i="1"/>
  <c r="E511" i="1"/>
  <c r="G511" i="1"/>
  <c r="D511" i="1"/>
  <c r="F511" i="1"/>
  <c r="C483" i="1"/>
  <c r="E483" i="1"/>
  <c r="G483" i="1"/>
  <c r="D483" i="1"/>
  <c r="F483" i="1"/>
  <c r="C456" i="1"/>
  <c r="E456" i="1"/>
  <c r="G456" i="1"/>
  <c r="D456" i="1"/>
  <c r="F456" i="1"/>
  <c r="C429" i="1"/>
  <c r="E429" i="1"/>
  <c r="G429" i="1"/>
  <c r="D429" i="1"/>
  <c r="F429" i="1"/>
  <c r="C401" i="1"/>
  <c r="E401" i="1"/>
  <c r="G401" i="1"/>
  <c r="D401" i="1"/>
  <c r="F401" i="1"/>
  <c r="C374" i="1"/>
  <c r="E374" i="1"/>
  <c r="G374" i="1"/>
  <c r="D374" i="1"/>
  <c r="F374" i="1"/>
  <c r="C346" i="1"/>
  <c r="E346" i="1"/>
  <c r="G346" i="1"/>
  <c r="D346" i="1"/>
  <c r="F346" i="1"/>
  <c r="C319" i="1"/>
  <c r="E319" i="1"/>
  <c r="G319" i="1"/>
  <c r="D319" i="1"/>
  <c r="F319" i="1"/>
  <c r="G285" i="1" l="1"/>
  <c r="F285" i="1"/>
  <c r="E285" i="1"/>
  <c r="D285" i="1"/>
  <c r="C285" i="1"/>
  <c r="G280" i="1"/>
  <c r="F280" i="1"/>
  <c r="E280" i="1"/>
  <c r="D280" i="1"/>
  <c r="C280" i="1"/>
  <c r="G269" i="1"/>
  <c r="F269" i="1"/>
  <c r="E269" i="1"/>
  <c r="D269" i="1"/>
  <c r="C269" i="1"/>
  <c r="G257" i="1"/>
  <c r="F257" i="1"/>
  <c r="E257" i="1"/>
  <c r="D257" i="1"/>
  <c r="C257" i="1"/>
  <c r="C252" i="1"/>
  <c r="G252" i="1"/>
  <c r="F252" i="1"/>
  <c r="E252" i="1"/>
  <c r="D252" i="1"/>
  <c r="G241" i="1"/>
  <c r="F241" i="1"/>
  <c r="E241" i="1"/>
  <c r="D241" i="1"/>
  <c r="C241" i="1"/>
  <c r="G229" i="1"/>
  <c r="F229" i="1"/>
  <c r="E229" i="1"/>
  <c r="D229" i="1"/>
  <c r="C229" i="1"/>
  <c r="G224" i="1"/>
  <c r="F224" i="1"/>
  <c r="E224" i="1"/>
  <c r="D224" i="1"/>
  <c r="C224" i="1"/>
  <c r="G214" i="1"/>
  <c r="F214" i="1"/>
  <c r="E214" i="1"/>
  <c r="D214" i="1"/>
  <c r="C214" i="1"/>
  <c r="G202" i="1"/>
  <c r="F202" i="1"/>
  <c r="E202" i="1"/>
  <c r="D202" i="1"/>
  <c r="C202" i="1"/>
  <c r="F197" i="1"/>
  <c r="E197" i="1"/>
  <c r="D197" i="1"/>
  <c r="C197" i="1"/>
  <c r="G187" i="1"/>
  <c r="F187" i="1"/>
  <c r="E187" i="1"/>
  <c r="D187" i="1"/>
  <c r="C187" i="1"/>
  <c r="G174" i="1"/>
  <c r="F174" i="1"/>
  <c r="E174" i="1"/>
  <c r="D174" i="1"/>
  <c r="C174" i="1"/>
  <c r="G169" i="1"/>
  <c r="F169" i="1"/>
  <c r="E169" i="1"/>
  <c r="D169" i="1"/>
  <c r="C169" i="1"/>
  <c r="C146" i="1"/>
  <c r="G141" i="1"/>
  <c r="F141" i="1"/>
  <c r="E141" i="1"/>
  <c r="D141" i="1"/>
  <c r="C141" i="1"/>
  <c r="G118" i="1"/>
  <c r="F118" i="1"/>
  <c r="E118" i="1"/>
  <c r="D118" i="1"/>
  <c r="C118" i="1"/>
  <c r="G113" i="1"/>
  <c r="F113" i="1"/>
  <c r="E113" i="1"/>
  <c r="D113" i="1"/>
  <c r="C113" i="1"/>
  <c r="G101" i="1"/>
  <c r="F101" i="1"/>
  <c r="E101" i="1"/>
  <c r="D101" i="1"/>
  <c r="C101" i="1"/>
  <c r="G62" i="1"/>
  <c r="G63" i="1" s="1"/>
  <c r="F62" i="1"/>
  <c r="F63" i="1" s="1"/>
  <c r="E62" i="1"/>
  <c r="E63" i="1" s="1"/>
  <c r="D62" i="1"/>
  <c r="D63" i="1" s="1"/>
  <c r="C62" i="1"/>
  <c r="C63" i="1" s="1"/>
  <c r="G34" i="1"/>
  <c r="F34" i="1"/>
  <c r="E34" i="1"/>
  <c r="D34" i="1"/>
  <c r="C34" i="1"/>
  <c r="G18" i="1"/>
  <c r="F18" i="1"/>
  <c r="E18" i="1"/>
  <c r="D18" i="1"/>
  <c r="C18" i="1"/>
  <c r="D258" i="1" l="1"/>
  <c r="F258" i="1"/>
  <c r="E258" i="1"/>
  <c r="G258" i="1"/>
  <c r="F147" i="1"/>
  <c r="D175" i="1"/>
  <c r="D230" i="1"/>
  <c r="D119" i="1"/>
  <c r="F119" i="1"/>
  <c r="C147" i="1"/>
  <c r="E147" i="1"/>
  <c r="G147" i="1"/>
  <c r="C175" i="1"/>
  <c r="E175" i="1"/>
  <c r="G175" i="1"/>
  <c r="F203" i="1"/>
  <c r="F230" i="1"/>
  <c r="C286" i="1"/>
  <c r="E286" i="1"/>
  <c r="G286" i="1"/>
  <c r="C35" i="1"/>
  <c r="E35" i="1"/>
  <c r="G35" i="1"/>
  <c r="C119" i="1"/>
  <c r="E119" i="1"/>
  <c r="G119" i="1"/>
  <c r="F175" i="1"/>
  <c r="C203" i="1"/>
  <c r="E203" i="1"/>
  <c r="G203" i="1"/>
  <c r="C230" i="1"/>
  <c r="E230" i="1"/>
  <c r="G230" i="1"/>
  <c r="C258" i="1"/>
  <c r="D286" i="1"/>
  <c r="F286" i="1"/>
  <c r="D203" i="1"/>
  <c r="D35" i="1"/>
  <c r="F35" i="1"/>
  <c r="D147" i="1"/>
</calcChain>
</file>

<file path=xl/sharedStrings.xml><?xml version="1.0" encoding="utf-8"?>
<sst xmlns="http://schemas.openxmlformats.org/spreadsheetml/2006/main" count="1568" uniqueCount="210">
  <si>
    <t>Б</t>
  </si>
  <si>
    <t>Ж</t>
  </si>
  <si>
    <t>У</t>
  </si>
  <si>
    <t>В1</t>
  </si>
  <si>
    <t>В2</t>
  </si>
  <si>
    <t>А</t>
  </si>
  <si>
    <t>D</t>
  </si>
  <si>
    <t>С</t>
  </si>
  <si>
    <t>K</t>
  </si>
  <si>
    <t>Ca</t>
  </si>
  <si>
    <t>Мg</t>
  </si>
  <si>
    <t>P</t>
  </si>
  <si>
    <t>I</t>
  </si>
  <si>
    <t>Fe</t>
  </si>
  <si>
    <t xml:space="preserve">Se            </t>
  </si>
  <si>
    <t xml:space="preserve">F         </t>
  </si>
  <si>
    <t xml:space="preserve">       Неделя первая</t>
  </si>
  <si>
    <t xml:space="preserve">       День понедельник</t>
  </si>
  <si>
    <t>Возрастная категория - 7-11 лет</t>
  </si>
  <si>
    <t xml:space="preserve">             Завтрак</t>
  </si>
  <si>
    <t>Чай с сахаром</t>
  </si>
  <si>
    <t>Масло сливочное</t>
  </si>
  <si>
    <t>Сыр твердый порциями</t>
  </si>
  <si>
    <t>Хлеб ржанной</t>
  </si>
  <si>
    <t>Хлеб пшеничный</t>
  </si>
  <si>
    <t>Итоого за завтрак</t>
  </si>
  <si>
    <t xml:space="preserve">             Обед</t>
  </si>
  <si>
    <t>Рассольник ленинградский</t>
  </si>
  <si>
    <t>Компот из сухофруктов</t>
  </si>
  <si>
    <t>Итого за обед</t>
  </si>
  <si>
    <t xml:space="preserve">            Полдник</t>
  </si>
  <si>
    <t>Булка Ванильная</t>
  </si>
  <si>
    <t>Итого за полдник</t>
  </si>
  <si>
    <t>Итого за день</t>
  </si>
  <si>
    <t>Неделя первая</t>
  </si>
  <si>
    <t>День вторник</t>
  </si>
  <si>
    <t>Кофейный напиток с молоком</t>
  </si>
  <si>
    <t>Итого за завтрак</t>
  </si>
  <si>
    <t>Суп крестьянский с крупой</t>
  </si>
  <si>
    <t>Свежий огурец (гарнировка)</t>
  </si>
  <si>
    <t>Картофельное пюре</t>
  </si>
  <si>
    <t>Соус томатный</t>
  </si>
  <si>
    <t>Булка Нежная</t>
  </si>
  <si>
    <t>День среда</t>
  </si>
  <si>
    <t>Какао с молоком</t>
  </si>
  <si>
    <t>Гуляш из говядины</t>
  </si>
  <si>
    <t>Лапшевник с творогом</t>
  </si>
  <si>
    <t>День четверг</t>
  </si>
  <si>
    <t>Суп картофельный макар. изделиями</t>
  </si>
  <si>
    <t>Соус сметанный</t>
  </si>
  <si>
    <t>Омлет натуральный</t>
  </si>
  <si>
    <t>День пятница</t>
  </si>
  <si>
    <t>Щи из свежей капусты с картофелем.</t>
  </si>
  <si>
    <t xml:space="preserve">Итого за обед </t>
  </si>
  <si>
    <t>Сок в ассортименте</t>
  </si>
  <si>
    <t>Хлебобул. изделие(баранка)</t>
  </si>
  <si>
    <t>Неделя вторая</t>
  </si>
  <si>
    <t>День понедельник</t>
  </si>
  <si>
    <t>Котлета из курицы</t>
  </si>
  <si>
    <t>Котлета из говядины</t>
  </si>
  <si>
    <t>Голубцы ленивые</t>
  </si>
  <si>
    <t>Котлета рыбная Любительская</t>
  </si>
  <si>
    <t>Жаркое по-домашнему</t>
  </si>
  <si>
    <t>Тефтели из говядины с рисом</t>
  </si>
  <si>
    <t>Плов с курицей</t>
  </si>
  <si>
    <t>Плов из отварной говядины</t>
  </si>
  <si>
    <t>Запеканка из творога</t>
  </si>
  <si>
    <t>Рис отварной</t>
  </si>
  <si>
    <t xml:space="preserve">Макароны отварные </t>
  </si>
  <si>
    <t>Суп молочный с рисом</t>
  </si>
  <si>
    <t xml:space="preserve">Борщ со свежей капустой и картофелем. </t>
  </si>
  <si>
    <t>Компот из свежих яблок</t>
  </si>
  <si>
    <t>Каша Дружба</t>
  </si>
  <si>
    <t>Каша молочная жидкая гречневая</t>
  </si>
  <si>
    <t>Винегрет с растит маслом</t>
  </si>
  <si>
    <t>Помидор в нарезке</t>
  </si>
  <si>
    <t>Шанежка с картофлем</t>
  </si>
  <si>
    <t>Кофейный напиток</t>
  </si>
  <si>
    <t xml:space="preserve">               Обед</t>
  </si>
  <si>
    <t xml:space="preserve">           Полдник</t>
  </si>
  <si>
    <t xml:space="preserve">              Обед</t>
  </si>
  <si>
    <t>Салат из отварной свеклы</t>
  </si>
  <si>
    <t xml:space="preserve">          Полдник</t>
  </si>
  <si>
    <t>Напиток из шиповника</t>
  </si>
  <si>
    <t>Салат из отварной моркови</t>
  </si>
  <si>
    <t>Каша перловая рассыпчатая</t>
  </si>
  <si>
    <t>Гуляш из отварной курицы</t>
  </si>
  <si>
    <t>Суп картофельный с рыбой</t>
  </si>
  <si>
    <t>Шанежка наливная</t>
  </si>
  <si>
    <t>Каша молочная манная</t>
  </si>
  <si>
    <t xml:space="preserve">Суп картофельный </t>
  </si>
  <si>
    <t>Каша пшеничная рассыпчатая</t>
  </si>
  <si>
    <t>Хлебобул. изделие(пряник )</t>
  </si>
  <si>
    <t xml:space="preserve">       День вторник</t>
  </si>
  <si>
    <t xml:space="preserve">       День среда</t>
  </si>
  <si>
    <t xml:space="preserve">       День чеиверг</t>
  </si>
  <si>
    <t>Ватрушка  с повидлом</t>
  </si>
  <si>
    <t xml:space="preserve">       День пятница</t>
  </si>
  <si>
    <t xml:space="preserve">       День четверг</t>
  </si>
  <si>
    <t>Кисель из фруктого концентрата</t>
  </si>
  <si>
    <t>Сок фруктовый</t>
  </si>
  <si>
    <t>Пирожок с мясом</t>
  </si>
  <si>
    <t xml:space="preserve">Котлета рыбная </t>
  </si>
  <si>
    <t>Молоко</t>
  </si>
  <si>
    <t>Пуштеыешыд (суп с яйцом)</t>
  </si>
  <si>
    <t>Снежок(кисломолочный продукт)</t>
  </si>
  <si>
    <t>Каша гречневая рассыпчатая</t>
  </si>
  <si>
    <t>Яблоко свежее</t>
  </si>
  <si>
    <t>№ рец.</t>
  </si>
  <si>
    <t>Наименование блюда</t>
  </si>
  <si>
    <t>Масса порции</t>
  </si>
  <si>
    <t>Пищевые вещества</t>
  </si>
  <si>
    <t>Энерг. ценность(ккал)</t>
  </si>
  <si>
    <t>Витамины(мл.сут)</t>
  </si>
  <si>
    <t>Минеральные вещества(мг.сут)</t>
  </si>
  <si>
    <t>59-3</t>
  </si>
  <si>
    <t>Цикличное десятидневное меню</t>
  </si>
  <si>
    <t>Утверждаю:                                                        Директор МБОУ НОШ с. Сигаево                    Э.Т.Долгих.</t>
  </si>
  <si>
    <t>Возраст категории 7-11</t>
  </si>
  <si>
    <t>Вриант №1</t>
  </si>
  <si>
    <t>Каша жидкая молочная рисовая</t>
  </si>
  <si>
    <t>54-25к</t>
  </si>
  <si>
    <t>Чай с молоком и сахаром</t>
  </si>
  <si>
    <t>54-4гн</t>
  </si>
  <si>
    <t>б/н</t>
  </si>
  <si>
    <t>Огурец в нарезке</t>
  </si>
  <si>
    <t>54-2з</t>
  </si>
  <si>
    <t>54-3з</t>
  </si>
  <si>
    <t>54-2с</t>
  </si>
  <si>
    <t>54-3р</t>
  </si>
  <si>
    <t>54-1г</t>
  </si>
  <si>
    <t>54-3с</t>
  </si>
  <si>
    <t>54-6к</t>
  </si>
  <si>
    <t xml:space="preserve">Каша вязкая молочная пшенная </t>
  </si>
  <si>
    <t>54-21гн</t>
  </si>
  <si>
    <t>54-1з</t>
  </si>
  <si>
    <t>54-16з</t>
  </si>
  <si>
    <t>Винегрет с растительным маслом</t>
  </si>
  <si>
    <t>54-7с</t>
  </si>
  <si>
    <t>54-12м</t>
  </si>
  <si>
    <t>54-2гн</t>
  </si>
  <si>
    <t>54-13к</t>
  </si>
  <si>
    <t>54-20к</t>
  </si>
  <si>
    <t xml:space="preserve">Каша вязкая молочная пшеничная          </t>
  </si>
  <si>
    <t>54-13з</t>
  </si>
  <si>
    <t>54-4г</t>
  </si>
  <si>
    <t>54-4м</t>
  </si>
  <si>
    <t>54-1хн</t>
  </si>
  <si>
    <t>54-1т</t>
  </si>
  <si>
    <t>54-18к</t>
  </si>
  <si>
    <t>54-23гн</t>
  </si>
  <si>
    <t>54-11с</t>
  </si>
  <si>
    <t>Свежий огурец в нарезке</t>
  </si>
  <si>
    <t>54-11г</t>
  </si>
  <si>
    <t>54-14р</t>
  </si>
  <si>
    <t>54-1о</t>
  </si>
  <si>
    <t>54-4 гн</t>
  </si>
  <si>
    <t>54-1с</t>
  </si>
  <si>
    <t>54-16к</t>
  </si>
  <si>
    <t>54-20с</t>
  </si>
  <si>
    <t>54-16с</t>
  </si>
  <si>
    <t>54-18с</t>
  </si>
  <si>
    <t>Свекольник со сметаной</t>
  </si>
  <si>
    <t>54-11м</t>
  </si>
  <si>
    <t>54-21к</t>
  </si>
  <si>
    <t xml:space="preserve">Каша вязкая молочная ячневая </t>
  </si>
  <si>
    <t>54-13с</t>
  </si>
  <si>
    <t>Картофельная запеканка с  говядиной</t>
  </si>
  <si>
    <t>54-26м</t>
  </si>
  <si>
    <t>Чай с лимоном и сахаром</t>
  </si>
  <si>
    <t>54-3гн</t>
  </si>
  <si>
    <t>54-19к</t>
  </si>
  <si>
    <t>Суп молочный с мак.изделиями</t>
  </si>
  <si>
    <t>Суп гороховый</t>
  </si>
  <si>
    <t>54-8с</t>
  </si>
  <si>
    <t>54-6г</t>
  </si>
  <si>
    <t xml:space="preserve">Каша вязкая молочная овсяная </t>
  </si>
  <si>
    <t>54-9к</t>
  </si>
  <si>
    <t>54-5м</t>
  </si>
  <si>
    <t>54-1к</t>
  </si>
  <si>
    <t>Каша жидкая молочная кукурузная</t>
  </si>
  <si>
    <t>54-9м</t>
  </si>
  <si>
    <t>54-32хн</t>
  </si>
  <si>
    <t>54-10о</t>
  </si>
  <si>
    <t xml:space="preserve">Каша вязкая молочная пшеничная </t>
  </si>
  <si>
    <t>54-2м</t>
  </si>
  <si>
    <t>Кашавязкая  молочная ячневая</t>
  </si>
  <si>
    <t>Картофельная запеканка с говядиной</t>
  </si>
  <si>
    <t>54-19 к</t>
  </si>
  <si>
    <t>54-3м</t>
  </si>
  <si>
    <t>Кашажидкая  молочная кукурузная</t>
  </si>
  <si>
    <t>53-13з</t>
  </si>
  <si>
    <t>54-5г</t>
  </si>
  <si>
    <t>54-16м</t>
  </si>
  <si>
    <t>Вриант №2</t>
  </si>
  <si>
    <t xml:space="preserve">       Неделя вторая</t>
  </si>
  <si>
    <t>Меню разработано и подготовленно для согласования с Роспотребнадзором копию меню предоставляем. После согласования меню с Роспотребнадзором копию предоставим до 30,01.2023</t>
  </si>
  <si>
    <t>Шанежка картофельная</t>
  </si>
  <si>
    <t>59-3м</t>
  </si>
  <si>
    <r>
      <t xml:space="preserve">      </t>
    </r>
    <r>
      <rPr>
        <b/>
        <i/>
        <sz val="10"/>
        <color rgb="FF00B050"/>
        <rFont val="Times New Roman"/>
        <family val="1"/>
        <charset val="204"/>
      </rPr>
      <t xml:space="preserve"> День вторник</t>
    </r>
  </si>
  <si>
    <r>
      <t xml:space="preserve">  </t>
    </r>
    <r>
      <rPr>
        <b/>
        <i/>
        <sz val="10"/>
        <color rgb="FF00B050"/>
        <rFont val="Times New Roman"/>
        <family val="1"/>
        <charset val="204"/>
      </rPr>
      <t xml:space="preserve">     День среда</t>
    </r>
  </si>
  <si>
    <r>
      <t xml:space="preserve">      </t>
    </r>
    <r>
      <rPr>
        <b/>
        <i/>
        <sz val="10"/>
        <color rgb="FF00B050"/>
        <rFont val="Times New Roman"/>
        <family val="1"/>
        <charset val="204"/>
      </rPr>
      <t xml:space="preserve"> День чеиверг</t>
    </r>
  </si>
  <si>
    <r>
      <t xml:space="preserve">     </t>
    </r>
    <r>
      <rPr>
        <b/>
        <i/>
        <sz val="10"/>
        <color rgb="FF00B050"/>
        <rFont val="Times New Roman"/>
        <family val="1"/>
        <charset val="204"/>
      </rPr>
      <t xml:space="preserve">  День пятница</t>
    </r>
  </si>
  <si>
    <r>
      <t xml:space="preserve">   </t>
    </r>
    <r>
      <rPr>
        <b/>
        <i/>
        <sz val="10"/>
        <color rgb="FF7030A0"/>
        <rFont val="Times New Roman"/>
        <family val="1"/>
        <charset val="204"/>
      </rPr>
      <t xml:space="preserve">    День понедельник</t>
    </r>
  </si>
  <si>
    <r>
      <t xml:space="preserve">     </t>
    </r>
    <r>
      <rPr>
        <b/>
        <i/>
        <sz val="10"/>
        <color rgb="FF7030A0"/>
        <rFont val="Times New Roman"/>
        <family val="1"/>
        <charset val="204"/>
      </rPr>
      <t xml:space="preserve">  День вторник</t>
    </r>
  </si>
  <si>
    <r>
      <t xml:space="preserve">     </t>
    </r>
    <r>
      <rPr>
        <b/>
        <i/>
        <sz val="10"/>
        <color rgb="FF7030A0"/>
        <rFont val="Times New Roman"/>
        <family val="1"/>
        <charset val="204"/>
      </rPr>
      <t xml:space="preserve">  День среда</t>
    </r>
  </si>
  <si>
    <r>
      <t xml:space="preserve">       </t>
    </r>
    <r>
      <rPr>
        <b/>
        <i/>
        <sz val="10"/>
        <color rgb="FF7030A0"/>
        <rFont val="Times New Roman"/>
        <family val="1"/>
        <charset val="204"/>
      </rPr>
      <t>День четверг</t>
    </r>
  </si>
  <si>
    <r>
      <t xml:space="preserve">       </t>
    </r>
    <r>
      <rPr>
        <b/>
        <i/>
        <sz val="10"/>
        <color rgb="FF7030A0"/>
        <rFont val="Times New Roman"/>
        <family val="1"/>
        <charset val="204"/>
      </rPr>
      <t>День пятница</t>
    </r>
  </si>
  <si>
    <t xml:space="preserve">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</si>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</sst>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2" fontId="15" fillId="2" borderId="2" xfId="0" applyNumberFormat="1" applyFont="1" applyFill="1" applyBorder="1" applyAlignment="1">
      <alignment horizontal="center" wrapText="1"/>
    </xf>
    <xf numFmtId="165" fontId="15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165" fontId="10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2" fontId="11" fillId="0" borderId="2" xfId="0" applyNumberFormat="1" applyFont="1" applyBorder="1" applyAlignment="1">
      <alignment horizontal="center"/>
    </xf>
    <xf numFmtId="0" fontId="0" fillId="2" borderId="0" xfId="0" applyFill="1"/>
    <xf numFmtId="2" fontId="14" fillId="2" borderId="2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16" fillId="2" borderId="11" xfId="0" applyFont="1" applyFill="1" applyBorder="1"/>
    <xf numFmtId="2" fontId="16" fillId="2" borderId="11" xfId="0" applyNumberFormat="1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0" fillId="2" borderId="2" xfId="0" applyFont="1" applyFill="1" applyBorder="1"/>
    <xf numFmtId="2" fontId="3" fillId="2" borderId="1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 indent="1"/>
    </xf>
    <xf numFmtId="1" fontId="10" fillId="2" borderId="2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0" fontId="10" fillId="2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wrapText="1"/>
    </xf>
    <xf numFmtId="165" fontId="10" fillId="2" borderId="3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23" fillId="2" borderId="0" xfId="0" applyFont="1" applyFill="1"/>
    <xf numFmtId="0" fontId="3" fillId="2" borderId="1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wrapText="1"/>
    </xf>
    <xf numFmtId="2" fontId="14" fillId="2" borderId="4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6" fillId="2" borderId="13" xfId="0" applyFont="1" applyFill="1" applyBorder="1"/>
    <xf numFmtId="2" fontId="4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2" fontId="4" fillId="2" borderId="10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/>
    </xf>
    <xf numFmtId="0" fontId="0" fillId="0" borderId="4" xfId="0" applyFont="1" applyBorder="1"/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23" fillId="2" borderId="0" xfId="0" applyFont="1" applyFill="1" applyBorder="1"/>
    <xf numFmtId="0" fontId="21" fillId="2" borderId="4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wrapText="1"/>
    </xf>
    <xf numFmtId="165" fontId="15" fillId="2" borderId="3" xfId="0" applyNumberFormat="1" applyFont="1" applyFill="1" applyBorder="1" applyAlignment="1">
      <alignment horizontal="center" wrapText="1"/>
    </xf>
    <xf numFmtId="2" fontId="15" fillId="2" borderId="7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 wrapText="1"/>
    </xf>
    <xf numFmtId="165" fontId="10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2" fontId="22" fillId="2" borderId="4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left" vertical="center" wrapText="1" indent="1"/>
    </xf>
    <xf numFmtId="2" fontId="19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0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0" xfId="0" applyFont="1" applyBorder="1"/>
    <xf numFmtId="0" fontId="0" fillId="0" borderId="14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12" fillId="2" borderId="2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5" fillId="0" borderId="4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2" fillId="2" borderId="9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1"/>
  <sheetViews>
    <sheetView tabSelected="1" topLeftCell="A409" workbookViewId="0">
      <selection activeCell="A406" sqref="A406:G429"/>
    </sheetView>
  </sheetViews>
  <sheetFormatPr defaultRowHeight="15" x14ac:dyDescent="0.25"/>
  <cols>
    <col min="1" max="1" width="6.85546875" customWidth="1"/>
    <col min="2" max="2" width="28" customWidth="1"/>
    <col min="3" max="3" width="7.140625" customWidth="1"/>
    <col min="4" max="4" width="5.5703125" customWidth="1"/>
    <col min="5" max="6" width="5.7109375" customWidth="1"/>
    <col min="7" max="7" width="8" customWidth="1"/>
    <col min="8" max="79" width="9.140625" style="1"/>
  </cols>
  <sheetData>
    <row r="1" spans="1:79" ht="23.25" customHeight="1" x14ac:dyDescent="0.35">
      <c r="A1" s="272" t="s">
        <v>116</v>
      </c>
      <c r="B1" s="272"/>
      <c r="C1" s="272"/>
      <c r="D1" s="272"/>
      <c r="E1" s="272"/>
      <c r="F1" s="272"/>
      <c r="G1" s="272"/>
    </row>
    <row r="3" spans="1:79" x14ac:dyDescent="0.25">
      <c r="A3" s="236" t="s">
        <v>119</v>
      </c>
    </row>
    <row r="4" spans="1:79" x14ac:dyDescent="0.25">
      <c r="A4" s="236" t="s">
        <v>118</v>
      </c>
      <c r="E4" s="237"/>
      <c r="F4" s="237"/>
      <c r="G4" s="237"/>
    </row>
    <row r="5" spans="1:79" ht="15" customHeight="1" x14ac:dyDescent="0.25">
      <c r="A5" s="275" t="s">
        <v>108</v>
      </c>
      <c r="B5" s="273" t="s">
        <v>109</v>
      </c>
      <c r="C5" s="277" t="s">
        <v>110</v>
      </c>
      <c r="D5" s="279" t="s">
        <v>111</v>
      </c>
      <c r="E5" s="279"/>
      <c r="F5" s="279"/>
      <c r="G5" s="278" t="s">
        <v>112</v>
      </c>
    </row>
    <row r="6" spans="1:79" ht="22.5" customHeight="1" x14ac:dyDescent="0.25">
      <c r="A6" s="276"/>
      <c r="B6" s="274"/>
      <c r="C6" s="277"/>
      <c r="D6" s="2" t="s">
        <v>0</v>
      </c>
      <c r="E6" s="2" t="s">
        <v>1</v>
      </c>
      <c r="F6" s="2" t="s">
        <v>2</v>
      </c>
      <c r="G6" s="278"/>
    </row>
    <row r="7" spans="1:79" x14ac:dyDescent="0.25">
      <c r="A7" s="293" t="s">
        <v>16</v>
      </c>
      <c r="B7" s="294"/>
      <c r="C7" s="294"/>
      <c r="D7" s="294"/>
      <c r="E7" s="294"/>
      <c r="F7" s="294"/>
      <c r="G7" s="294"/>
    </row>
    <row r="8" spans="1:79" x14ac:dyDescent="0.25">
      <c r="A8" s="293" t="s">
        <v>17</v>
      </c>
      <c r="B8" s="294"/>
      <c r="C8" s="294"/>
      <c r="D8" s="294"/>
      <c r="E8" s="294"/>
      <c r="F8" s="294"/>
      <c r="G8" s="294"/>
    </row>
    <row r="9" spans="1:79" x14ac:dyDescent="0.25">
      <c r="A9" s="285" t="s">
        <v>18</v>
      </c>
      <c r="B9" s="286"/>
      <c r="C9" s="286"/>
      <c r="D9" s="286"/>
      <c r="E9" s="286"/>
      <c r="F9" s="286"/>
      <c r="G9" s="286"/>
    </row>
    <row r="10" spans="1:79" x14ac:dyDescent="0.25">
      <c r="A10" s="287" t="s">
        <v>19</v>
      </c>
      <c r="B10" s="288"/>
      <c r="C10" s="288"/>
      <c r="D10" s="288"/>
      <c r="E10" s="288"/>
      <c r="F10" s="288"/>
      <c r="G10" s="288"/>
    </row>
    <row r="11" spans="1:79" x14ac:dyDescent="0.25">
      <c r="A11" s="69" t="s">
        <v>121</v>
      </c>
      <c r="B11" s="32" t="s">
        <v>120</v>
      </c>
      <c r="C11" s="20">
        <v>200</v>
      </c>
      <c r="D11" s="25">
        <v>1.2</v>
      </c>
      <c r="E11" s="25">
        <v>10.8</v>
      </c>
      <c r="F11" s="25">
        <f>28.7/200*C11</f>
        <v>28.7</v>
      </c>
      <c r="G11" s="25">
        <f>184.5/200*C11</f>
        <v>184.5</v>
      </c>
    </row>
    <row r="12" spans="1:79" x14ac:dyDescent="0.25">
      <c r="A12" s="8" t="s">
        <v>123</v>
      </c>
      <c r="B12" s="32" t="s">
        <v>122</v>
      </c>
      <c r="C12" s="9">
        <v>200</v>
      </c>
      <c r="D12" s="10">
        <f>1.6/200*C12</f>
        <v>1.6</v>
      </c>
      <c r="E12" s="10">
        <f>1.1/200*C12</f>
        <v>1.1000000000000001</v>
      </c>
      <c r="F12" s="10">
        <f>8.7/200*C12</f>
        <v>8.6999999999999993</v>
      </c>
      <c r="G12" s="10">
        <f>50.9/200*C12</f>
        <v>50.9</v>
      </c>
    </row>
    <row r="13" spans="1:79" s="81" customFormat="1" x14ac:dyDescent="0.25">
      <c r="A13" s="4" t="s">
        <v>191</v>
      </c>
      <c r="B13" s="35" t="s">
        <v>21</v>
      </c>
      <c r="C13" s="6">
        <v>10</v>
      </c>
      <c r="D13" s="61">
        <f>10/10*C13</f>
        <v>10</v>
      </c>
      <c r="E13" s="61">
        <f>0.1/10*C13</f>
        <v>0.1</v>
      </c>
      <c r="F13" s="61">
        <f>7.2/10*C13</f>
        <v>7.1999999999999993</v>
      </c>
      <c r="G13" s="61">
        <f>1/10*C13</f>
        <v>1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</row>
    <row r="14" spans="1:79" s="81" customFormat="1" x14ac:dyDescent="0.25">
      <c r="A14" s="14" t="s">
        <v>124</v>
      </c>
      <c r="B14" s="35" t="s">
        <v>23</v>
      </c>
      <c r="C14" s="6">
        <v>30</v>
      </c>
      <c r="D14" s="10">
        <f>1.5/25*C14</f>
        <v>1.7999999999999998</v>
      </c>
      <c r="E14" s="10">
        <f>0.5/25*C14</f>
        <v>0.6</v>
      </c>
      <c r="F14" s="10">
        <f>10.2/25*C14</f>
        <v>12.239999999999998</v>
      </c>
      <c r="G14" s="10">
        <f>52/25*C14</f>
        <v>62.400000000000006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</row>
    <row r="15" spans="1:79" s="81" customFormat="1" x14ac:dyDescent="0.25">
      <c r="A15" s="14" t="s">
        <v>124</v>
      </c>
      <c r="B15" s="32" t="s">
        <v>24</v>
      </c>
      <c r="C15" s="16">
        <v>40</v>
      </c>
      <c r="D15" s="25">
        <f>3.4/45*C15</f>
        <v>3.0222222222222221</v>
      </c>
      <c r="E15" s="25">
        <f>0.4/45*C15</f>
        <v>0.35555555555555557</v>
      </c>
      <c r="F15" s="25">
        <f>22.1/45*C15</f>
        <v>19.644444444444446</v>
      </c>
      <c r="G15" s="25">
        <f>105.8/45*C15</f>
        <v>94.044444444444437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</row>
    <row r="16" spans="1:79" x14ac:dyDescent="0.25">
      <c r="A16" s="14" t="s">
        <v>124</v>
      </c>
      <c r="B16" s="32" t="s">
        <v>107</v>
      </c>
      <c r="C16" s="16">
        <v>100</v>
      </c>
      <c r="D16" s="25">
        <v>0.1</v>
      </c>
      <c r="E16" s="25">
        <f>4/100*C16</f>
        <v>4</v>
      </c>
      <c r="F16" s="25">
        <f>0.8/100*C16</f>
        <v>0.8</v>
      </c>
      <c r="G16" s="25">
        <v>84.6</v>
      </c>
    </row>
    <row r="17" spans="1:7" x14ac:dyDescent="0.25">
      <c r="A17" s="15"/>
      <c r="B17" s="4"/>
      <c r="C17" s="16"/>
      <c r="D17" s="25"/>
      <c r="E17" s="25"/>
      <c r="F17" s="25"/>
      <c r="G17" s="25"/>
    </row>
    <row r="18" spans="1:7" x14ac:dyDescent="0.25">
      <c r="A18" s="17"/>
      <c r="B18" s="6" t="s">
        <v>25</v>
      </c>
      <c r="C18" s="17">
        <f t="shared" ref="C18:G18" si="0">SUM(C11:C16)</f>
        <v>580</v>
      </c>
      <c r="D18" s="82">
        <f t="shared" si="0"/>
        <v>17.722222222222225</v>
      </c>
      <c r="E18" s="82">
        <f t="shared" si="0"/>
        <v>16.955555555555556</v>
      </c>
      <c r="F18" s="82">
        <f t="shared" si="0"/>
        <v>77.284444444444432</v>
      </c>
      <c r="G18" s="82">
        <f t="shared" si="0"/>
        <v>477.44444444444446</v>
      </c>
    </row>
    <row r="19" spans="1:7" x14ac:dyDescent="0.25">
      <c r="A19" s="289" t="s">
        <v>26</v>
      </c>
      <c r="B19" s="297"/>
      <c r="C19" s="297"/>
      <c r="D19" s="297"/>
      <c r="E19" s="297"/>
      <c r="F19" s="297"/>
      <c r="G19" s="297"/>
    </row>
    <row r="20" spans="1:7" x14ac:dyDescent="0.25">
      <c r="A20" s="8" t="s">
        <v>126</v>
      </c>
      <c r="B20" s="5" t="s">
        <v>125</v>
      </c>
      <c r="C20" s="24">
        <v>60</v>
      </c>
      <c r="D20" s="25">
        <f>0.5/60*C20</f>
        <v>0.5</v>
      </c>
      <c r="E20" s="11">
        <f>0.1/60*C20</f>
        <v>0.1</v>
      </c>
      <c r="F20" s="11">
        <f>1.5/60*C20</f>
        <v>1.5</v>
      </c>
      <c r="G20" s="245">
        <f>8.5/60*C20</f>
        <v>8.5</v>
      </c>
    </row>
    <row r="21" spans="1:7" x14ac:dyDescent="0.25">
      <c r="A21" s="68" t="s">
        <v>128</v>
      </c>
      <c r="B21" s="88" t="s">
        <v>70</v>
      </c>
      <c r="C21" s="28">
        <v>200</v>
      </c>
      <c r="D21" s="21">
        <f>4.7/200*C21</f>
        <v>4.7</v>
      </c>
      <c r="E21" s="56">
        <f>5.7/200*C21</f>
        <v>5.7</v>
      </c>
      <c r="F21" s="56">
        <f>10.1/200*C21</f>
        <v>10.1</v>
      </c>
      <c r="G21" s="139">
        <f>110.4/200*C21</f>
        <v>110.4</v>
      </c>
    </row>
    <row r="22" spans="1:7" x14ac:dyDescent="0.25">
      <c r="A22" s="4" t="s">
        <v>130</v>
      </c>
      <c r="B22" s="35" t="s">
        <v>68</v>
      </c>
      <c r="C22" s="6">
        <v>150</v>
      </c>
      <c r="D22" s="7">
        <f>5.4/150*C22</f>
        <v>5.4</v>
      </c>
      <c r="E22" s="7">
        <f>4.9/150*C22</f>
        <v>4.9000000000000004</v>
      </c>
      <c r="F22" s="7">
        <f>32.8/150*C22</f>
        <v>32.799999999999997</v>
      </c>
      <c r="G22" s="7">
        <f>196.8/150*C22</f>
        <v>196.8</v>
      </c>
    </row>
    <row r="23" spans="1:7" x14ac:dyDescent="0.25">
      <c r="A23" s="8" t="s">
        <v>193</v>
      </c>
      <c r="B23" s="32" t="s">
        <v>63</v>
      </c>
      <c r="C23" s="9">
        <v>100</v>
      </c>
      <c r="D23" s="10">
        <v>8.99</v>
      </c>
      <c r="E23" s="7">
        <f>8.8/80*C23</f>
        <v>11.000000000000002</v>
      </c>
      <c r="F23" s="7">
        <f>4.8/80*C23</f>
        <v>6</v>
      </c>
      <c r="G23" s="7">
        <f>133.1/80*C23</f>
        <v>166.37499999999997</v>
      </c>
    </row>
    <row r="24" spans="1:7" x14ac:dyDescent="0.25">
      <c r="A24" s="23" t="s">
        <v>131</v>
      </c>
      <c r="B24" s="5" t="s">
        <v>41</v>
      </c>
      <c r="C24" s="41">
        <v>30</v>
      </c>
      <c r="D24" s="42">
        <f>0.54/30*C24</f>
        <v>0.54</v>
      </c>
      <c r="E24" s="106">
        <f>3.67/30*C24</f>
        <v>3.67</v>
      </c>
      <c r="F24" s="106">
        <f>5.24/30*C24</f>
        <v>5.24</v>
      </c>
      <c r="G24" s="106">
        <f>56.16/30*C24</f>
        <v>56.16</v>
      </c>
    </row>
    <row r="25" spans="1:7" x14ac:dyDescent="0.25">
      <c r="A25" s="4">
        <v>254</v>
      </c>
      <c r="B25" s="97" t="s">
        <v>77</v>
      </c>
      <c r="C25" s="37">
        <v>150</v>
      </c>
      <c r="D25" s="38">
        <v>0.9</v>
      </c>
      <c r="E25" s="38">
        <v>0</v>
      </c>
      <c r="F25" s="38">
        <v>12.25</v>
      </c>
      <c r="G25" s="38">
        <f>14.4/200*C25</f>
        <v>10.8</v>
      </c>
    </row>
    <row r="26" spans="1:7" x14ac:dyDescent="0.25">
      <c r="A26" s="95" t="s">
        <v>124</v>
      </c>
      <c r="B26" s="32" t="s">
        <v>24</v>
      </c>
      <c r="C26" s="16">
        <v>60</v>
      </c>
      <c r="D26" s="25">
        <v>3.52</v>
      </c>
      <c r="E26" s="11">
        <f>0.4/45*C26</f>
        <v>0.53333333333333333</v>
      </c>
      <c r="F26" s="11">
        <f>22.1/45*C26</f>
        <v>29.466666666666669</v>
      </c>
      <c r="G26" s="11">
        <f>105.8/45*C26</f>
        <v>141.06666666666666</v>
      </c>
    </row>
    <row r="27" spans="1:7" x14ac:dyDescent="0.25">
      <c r="A27" s="95" t="s">
        <v>124</v>
      </c>
      <c r="B27" s="35" t="s">
        <v>23</v>
      </c>
      <c r="C27" s="6">
        <v>30</v>
      </c>
      <c r="D27" s="10">
        <f>1.5/25*C27</f>
        <v>1.7999999999999998</v>
      </c>
      <c r="E27" s="7">
        <f>0.5/25*C27</f>
        <v>0.6</v>
      </c>
      <c r="F27" s="7">
        <f>10.2/25*C27</f>
        <v>12.239999999999998</v>
      </c>
      <c r="G27" s="7">
        <f>52/25*C27</f>
        <v>62.400000000000006</v>
      </c>
    </row>
    <row r="28" spans="1:7" x14ac:dyDescent="0.25">
      <c r="A28" s="95"/>
      <c r="B28" s="101"/>
      <c r="C28" s="102"/>
      <c r="D28" s="103"/>
      <c r="E28" s="103"/>
      <c r="F28" s="103"/>
      <c r="G28" s="103"/>
    </row>
    <row r="29" spans="1:7" x14ac:dyDescent="0.25">
      <c r="A29" s="4"/>
      <c r="B29" s="71" t="s">
        <v>29</v>
      </c>
      <c r="C29" s="98">
        <f>SUM(C20:C28)</f>
        <v>780</v>
      </c>
      <c r="D29" s="214">
        <f t="shared" ref="D29:G29" si="1">SUM(D20:D28)</f>
        <v>26.35</v>
      </c>
      <c r="E29" s="98">
        <f t="shared" si="1"/>
        <v>26.503333333333341</v>
      </c>
      <c r="F29" s="98">
        <f t="shared" si="1"/>
        <v>109.59666666666666</v>
      </c>
      <c r="G29" s="214">
        <f t="shared" si="1"/>
        <v>752.50166666666667</v>
      </c>
    </row>
    <row r="30" spans="1:7" x14ac:dyDescent="0.25">
      <c r="A30" s="289" t="s">
        <v>30</v>
      </c>
      <c r="B30" s="290"/>
      <c r="C30" s="299"/>
      <c r="D30" s="299"/>
      <c r="E30" s="299"/>
      <c r="F30" s="299"/>
      <c r="G30" s="299"/>
    </row>
    <row r="31" spans="1:7" x14ac:dyDescent="0.25">
      <c r="A31" s="4">
        <v>233</v>
      </c>
      <c r="B31" s="5" t="s">
        <v>99</v>
      </c>
      <c r="C31" s="26">
        <v>200</v>
      </c>
      <c r="D31" s="61">
        <f>0.2/200*C31</f>
        <v>0.2</v>
      </c>
      <c r="E31" s="61">
        <v>1.2</v>
      </c>
      <c r="F31" s="61">
        <f>12.3/200*C31</f>
        <v>12.3</v>
      </c>
      <c r="G31" s="133">
        <f>50.5/200*C31</f>
        <v>50.5</v>
      </c>
    </row>
    <row r="32" spans="1:7" x14ac:dyDescent="0.25">
      <c r="A32" s="4">
        <v>59</v>
      </c>
      <c r="B32" s="32" t="s">
        <v>31</v>
      </c>
      <c r="C32" s="98">
        <v>100</v>
      </c>
      <c r="D32" s="197">
        <f>4.8/60*C32</f>
        <v>8</v>
      </c>
      <c r="E32" s="197">
        <f>3.8/60*C32</f>
        <v>6.3333333333333321</v>
      </c>
      <c r="F32" s="197">
        <v>33.1</v>
      </c>
      <c r="G32" s="197">
        <v>284.10000000000002</v>
      </c>
    </row>
    <row r="33" spans="1:7" ht="16.5" customHeight="1" x14ac:dyDescent="0.25">
      <c r="A33" s="4"/>
      <c r="B33" s="4"/>
      <c r="C33" s="29"/>
      <c r="D33" s="30"/>
      <c r="E33" s="30"/>
      <c r="F33" s="30"/>
      <c r="G33" s="30"/>
    </row>
    <row r="34" spans="1:7" x14ac:dyDescent="0.25">
      <c r="A34" s="4"/>
      <c r="B34" s="28" t="s">
        <v>32</v>
      </c>
      <c r="C34" s="29">
        <f>SUM(C31:C32)</f>
        <v>300</v>
      </c>
      <c r="D34" s="30">
        <f>SUM(D31:D32)</f>
        <v>8.1999999999999993</v>
      </c>
      <c r="E34" s="30">
        <f t="shared" ref="E34:G34" si="2">SUM(E31:E32)</f>
        <v>7.5333333333333323</v>
      </c>
      <c r="F34" s="30">
        <f t="shared" si="2"/>
        <v>45.400000000000006</v>
      </c>
      <c r="G34" s="30">
        <f t="shared" si="2"/>
        <v>334.6</v>
      </c>
    </row>
    <row r="35" spans="1:7" x14ac:dyDescent="0.25">
      <c r="A35" s="4"/>
      <c r="B35" s="28" t="s">
        <v>33</v>
      </c>
      <c r="C35" s="29">
        <f>C34+C29+C18</f>
        <v>1660</v>
      </c>
      <c r="D35" s="30">
        <f t="shared" ref="D35:G35" si="3">D34+D29+D18</f>
        <v>52.272222222222226</v>
      </c>
      <c r="E35" s="29">
        <f t="shared" si="3"/>
        <v>50.992222222222232</v>
      </c>
      <c r="F35" s="29">
        <f t="shared" si="3"/>
        <v>232.2811111111111</v>
      </c>
      <c r="G35" s="30">
        <f t="shared" si="3"/>
        <v>1564.5461111111113</v>
      </c>
    </row>
    <row r="36" spans="1:7" x14ac:dyDescent="0.25">
      <c r="A36" s="293" t="s">
        <v>34</v>
      </c>
      <c r="B36" s="294"/>
      <c r="C36" s="294"/>
      <c r="D36" s="294"/>
      <c r="E36" s="294"/>
      <c r="F36" s="294"/>
      <c r="G36" s="294"/>
    </row>
    <row r="37" spans="1:7" x14ac:dyDescent="0.25">
      <c r="A37" s="293" t="s">
        <v>35</v>
      </c>
      <c r="B37" s="294"/>
      <c r="C37" s="294"/>
      <c r="D37" s="294"/>
      <c r="E37" s="294"/>
      <c r="F37" s="294"/>
      <c r="G37" s="294"/>
    </row>
    <row r="38" spans="1:7" x14ac:dyDescent="0.25">
      <c r="A38" s="285" t="s">
        <v>18</v>
      </c>
      <c r="B38" s="286"/>
      <c r="C38" s="286"/>
      <c r="D38" s="286"/>
      <c r="E38" s="286"/>
      <c r="F38" s="286"/>
      <c r="G38" s="286"/>
    </row>
    <row r="39" spans="1:7" x14ac:dyDescent="0.25">
      <c r="A39" s="295" t="s">
        <v>19</v>
      </c>
      <c r="B39" s="296"/>
      <c r="C39" s="296"/>
      <c r="D39" s="296"/>
      <c r="E39" s="296"/>
      <c r="F39" s="296"/>
      <c r="G39" s="296"/>
    </row>
    <row r="40" spans="1:7" x14ac:dyDescent="0.25">
      <c r="A40" s="23" t="s">
        <v>132</v>
      </c>
      <c r="B40" s="5" t="s">
        <v>133</v>
      </c>
      <c r="C40" s="26">
        <v>250</v>
      </c>
      <c r="D40" s="21">
        <v>9.1999999999999993</v>
      </c>
      <c r="E40" s="21">
        <v>10.63</v>
      </c>
      <c r="F40" s="21">
        <f>37.6/200*C40</f>
        <v>47</v>
      </c>
      <c r="G40" s="21">
        <v>243.6</v>
      </c>
    </row>
    <row r="41" spans="1:7" x14ac:dyDescent="0.25">
      <c r="A41" s="8" t="s">
        <v>134</v>
      </c>
      <c r="B41" s="32" t="s">
        <v>44</v>
      </c>
      <c r="C41" s="9">
        <v>200</v>
      </c>
      <c r="D41" s="10">
        <f>4.6/200*C41</f>
        <v>4.5999999999999996</v>
      </c>
      <c r="E41" s="10">
        <f>3.6/200*C41</f>
        <v>3.6000000000000005</v>
      </c>
      <c r="F41" s="10">
        <f>12.6/200*C41</f>
        <v>12.6</v>
      </c>
      <c r="G41" s="10">
        <f>100.4/200*C41</f>
        <v>100.4</v>
      </c>
    </row>
    <row r="42" spans="1:7" x14ac:dyDescent="0.25">
      <c r="A42" s="14" t="s">
        <v>135</v>
      </c>
      <c r="B42" s="35" t="s">
        <v>22</v>
      </c>
      <c r="C42" s="6">
        <v>15</v>
      </c>
      <c r="D42" s="7">
        <f>3.5/15*C42</f>
        <v>3.5</v>
      </c>
      <c r="E42" s="7">
        <f>4.4/15*C42</f>
        <v>4.4000000000000004</v>
      </c>
      <c r="F42" s="7">
        <v>0</v>
      </c>
      <c r="G42" s="7">
        <f>53.7/15*C42</f>
        <v>53.7</v>
      </c>
    </row>
    <row r="43" spans="1:7" x14ac:dyDescent="0.25">
      <c r="A43" s="14" t="s">
        <v>124</v>
      </c>
      <c r="B43" s="35" t="s">
        <v>23</v>
      </c>
      <c r="C43" s="6">
        <v>30</v>
      </c>
      <c r="D43" s="10">
        <v>1.2</v>
      </c>
      <c r="E43" s="10">
        <v>0.3</v>
      </c>
      <c r="F43" s="10">
        <v>8.3000000000000007</v>
      </c>
      <c r="G43" s="10">
        <f>52/25*C43</f>
        <v>62.400000000000006</v>
      </c>
    </row>
    <row r="44" spans="1:7" x14ac:dyDescent="0.25">
      <c r="A44" s="14" t="s">
        <v>124</v>
      </c>
      <c r="B44" s="32" t="s">
        <v>24</v>
      </c>
      <c r="C44" s="16">
        <v>30</v>
      </c>
      <c r="D44" s="25">
        <v>0.5</v>
      </c>
      <c r="E44" s="25">
        <f>0.4/45*C44</f>
        <v>0.26666666666666666</v>
      </c>
      <c r="F44" s="25">
        <f>22.1/45*C44</f>
        <v>14.733333333333334</v>
      </c>
      <c r="G44" s="25">
        <v>50.2</v>
      </c>
    </row>
    <row r="45" spans="1:7" x14ac:dyDescent="0.25">
      <c r="A45" s="14"/>
      <c r="B45" s="32"/>
      <c r="C45" s="16"/>
      <c r="D45" s="11"/>
      <c r="E45" s="11"/>
      <c r="F45" s="11"/>
      <c r="G45" s="11"/>
    </row>
    <row r="46" spans="1:7" x14ac:dyDescent="0.25">
      <c r="A46" s="4"/>
      <c r="B46" s="6"/>
      <c r="C46" s="24">
        <f>SUM(C40:C45)</f>
        <v>525</v>
      </c>
      <c r="D46" s="235">
        <f t="shared" ref="D46:G46" si="4">SUM(D40:D45)</f>
        <v>18.999999999999996</v>
      </c>
      <c r="E46" s="24">
        <f t="shared" si="4"/>
        <v>19.196666666666669</v>
      </c>
      <c r="F46" s="24">
        <f t="shared" si="4"/>
        <v>82.63333333333334</v>
      </c>
      <c r="G46" s="24">
        <f t="shared" si="4"/>
        <v>510.3</v>
      </c>
    </row>
    <row r="47" spans="1:7" x14ac:dyDescent="0.25">
      <c r="A47" s="305" t="s">
        <v>78</v>
      </c>
      <c r="B47" s="305"/>
      <c r="C47" s="305"/>
      <c r="D47" s="305"/>
      <c r="E47" s="305"/>
      <c r="F47" s="305"/>
      <c r="G47" s="305"/>
    </row>
    <row r="48" spans="1:7" ht="26.25" x14ac:dyDescent="0.25">
      <c r="A48" s="8" t="s">
        <v>136</v>
      </c>
      <c r="B48" s="32" t="s">
        <v>137</v>
      </c>
      <c r="C48" s="9">
        <v>60</v>
      </c>
      <c r="D48" s="10">
        <f>0.6/60*C48</f>
        <v>0.6</v>
      </c>
      <c r="E48" s="10">
        <f>5.3/60*C48</f>
        <v>5.3</v>
      </c>
      <c r="F48" s="10">
        <f>4.1/60*C48</f>
        <v>4.0999999999999996</v>
      </c>
      <c r="G48" s="10">
        <f>67.1/60*C48</f>
        <v>67.099999999999994</v>
      </c>
    </row>
    <row r="49" spans="1:7" x14ac:dyDescent="0.25">
      <c r="A49" s="19" t="s">
        <v>131</v>
      </c>
      <c r="B49" s="32" t="s">
        <v>27</v>
      </c>
      <c r="C49" s="20">
        <v>200</v>
      </c>
      <c r="D49" s="21">
        <f>4.8/200*C49</f>
        <v>4.8</v>
      </c>
      <c r="E49" s="21">
        <f>5.8/200*C49</f>
        <v>5.8</v>
      </c>
      <c r="F49" s="21">
        <f>13.6/200*C49</f>
        <v>13.600000000000001</v>
      </c>
      <c r="G49" s="89">
        <f>125.5/200*C49</f>
        <v>125.49999999999999</v>
      </c>
    </row>
    <row r="50" spans="1:7" x14ac:dyDescent="0.25">
      <c r="A50" s="8" t="s">
        <v>139</v>
      </c>
      <c r="B50" s="36" t="s">
        <v>64</v>
      </c>
      <c r="C50" s="53">
        <v>150</v>
      </c>
      <c r="D50" s="56">
        <v>14.5</v>
      </c>
      <c r="E50" s="56">
        <f>8.1/200*C50</f>
        <v>6.0750000000000002</v>
      </c>
      <c r="F50" s="56">
        <v>34.5</v>
      </c>
      <c r="G50" s="56">
        <f>314.6/200*C50</f>
        <v>235.95000000000002</v>
      </c>
    </row>
    <row r="51" spans="1:7" x14ac:dyDescent="0.25">
      <c r="A51" s="240" t="s">
        <v>131</v>
      </c>
      <c r="B51" s="5" t="s">
        <v>41</v>
      </c>
      <c r="C51" s="41">
        <v>50</v>
      </c>
      <c r="D51" s="42">
        <f>0.54/30*C51</f>
        <v>0.90000000000000013</v>
      </c>
      <c r="E51" s="42">
        <f>3.67/30*C51</f>
        <v>6.1166666666666671</v>
      </c>
      <c r="F51" s="42">
        <f>5.24/30*C51</f>
        <v>8.7333333333333325</v>
      </c>
      <c r="G51" s="42">
        <f>56.16/30*C51</f>
        <v>93.6</v>
      </c>
    </row>
    <row r="52" spans="1:7" x14ac:dyDescent="0.25">
      <c r="A52" s="8" t="s">
        <v>140</v>
      </c>
      <c r="B52" s="32" t="s">
        <v>20</v>
      </c>
      <c r="C52" s="9">
        <v>200</v>
      </c>
      <c r="D52" s="10">
        <f>0.2/200*C52</f>
        <v>0.2</v>
      </c>
      <c r="E52" s="10">
        <v>0</v>
      </c>
      <c r="F52" s="10">
        <f>6.5/200*C52</f>
        <v>6.5</v>
      </c>
      <c r="G52" s="10">
        <f>26.8/200*C52</f>
        <v>26.8</v>
      </c>
    </row>
    <row r="53" spans="1:7" x14ac:dyDescent="0.25">
      <c r="A53" s="23" t="s">
        <v>124</v>
      </c>
      <c r="B53" s="35" t="s">
        <v>23</v>
      </c>
      <c r="C53" s="6">
        <v>60</v>
      </c>
      <c r="D53" s="10">
        <f>1.5/25*C53</f>
        <v>3.5999999999999996</v>
      </c>
      <c r="E53" s="10">
        <f>0.5/25*C53</f>
        <v>1.2</v>
      </c>
      <c r="F53" s="10">
        <f>10.2/25*C53</f>
        <v>24.479999999999997</v>
      </c>
      <c r="G53" s="10">
        <f>52/25*C53</f>
        <v>124.80000000000001</v>
      </c>
    </row>
    <row r="54" spans="1:7" x14ac:dyDescent="0.25">
      <c r="A54" s="240" t="s">
        <v>124</v>
      </c>
      <c r="B54" s="32" t="s">
        <v>24</v>
      </c>
      <c r="C54" s="16">
        <v>30</v>
      </c>
      <c r="D54" s="25">
        <f>3.4/45*C54</f>
        <v>2.2666666666666666</v>
      </c>
      <c r="E54" s="25">
        <f>0.4/45*C54</f>
        <v>0.26666666666666666</v>
      </c>
      <c r="F54" s="25">
        <f>22.1/45*C54</f>
        <v>14.733333333333334</v>
      </c>
      <c r="G54" s="25">
        <f>105.8/45*C54</f>
        <v>70.533333333333331</v>
      </c>
    </row>
    <row r="55" spans="1:7" x14ac:dyDescent="0.25">
      <c r="A55" s="23"/>
      <c r="B55" s="5"/>
      <c r="C55" s="16"/>
      <c r="D55" s="11"/>
      <c r="E55" s="11"/>
      <c r="F55" s="11"/>
      <c r="G55" s="11"/>
    </row>
    <row r="56" spans="1:7" ht="13.5" customHeight="1" x14ac:dyDescent="0.25">
      <c r="A56" s="242"/>
      <c r="B56" s="26"/>
      <c r="C56" s="26">
        <f>SUM(C48:C55)</f>
        <v>750</v>
      </c>
      <c r="D56" s="43">
        <f t="shared" ref="D56:G56" si="5">SUM(D48:D55)</f>
        <v>26.86666666666666</v>
      </c>
      <c r="E56" s="26">
        <f t="shared" si="5"/>
        <v>24.758333333333333</v>
      </c>
      <c r="F56" s="26">
        <f t="shared" si="5"/>
        <v>106.64666666666666</v>
      </c>
      <c r="G56" s="26">
        <f t="shared" si="5"/>
        <v>744.2833333333333</v>
      </c>
    </row>
    <row r="57" spans="1:7" hidden="1" x14ac:dyDescent="0.25">
      <c r="A57" s="242"/>
      <c r="B57" s="26"/>
      <c r="C57" s="26"/>
      <c r="D57" s="43"/>
      <c r="E57" s="43"/>
      <c r="F57" s="44"/>
      <c r="G57" s="43"/>
    </row>
    <row r="58" spans="1:7" x14ac:dyDescent="0.25">
      <c r="A58" s="300" t="s">
        <v>79</v>
      </c>
      <c r="B58" s="301"/>
      <c r="C58" s="301"/>
      <c r="D58" s="301"/>
      <c r="E58" s="301"/>
      <c r="F58" s="301"/>
      <c r="G58" s="301"/>
    </row>
    <row r="59" spans="1:7" x14ac:dyDescent="0.25">
      <c r="A59" s="8" t="s">
        <v>123</v>
      </c>
      <c r="B59" s="32" t="s">
        <v>122</v>
      </c>
      <c r="C59" s="9">
        <v>200</v>
      </c>
      <c r="D59" s="10">
        <f>1.6/200*C59</f>
        <v>1.6</v>
      </c>
      <c r="E59" s="10">
        <f>1.1/200*C59</f>
        <v>1.1000000000000001</v>
      </c>
      <c r="F59" s="10">
        <f>8.7/200*C59</f>
        <v>8.6999999999999993</v>
      </c>
      <c r="G59" s="10">
        <f>50.9/200*C59</f>
        <v>50.9</v>
      </c>
    </row>
    <row r="60" spans="1:7" x14ac:dyDescent="0.25">
      <c r="A60" s="8">
        <v>270</v>
      </c>
      <c r="B60" s="5" t="s">
        <v>42</v>
      </c>
      <c r="C60" s="26">
        <v>100</v>
      </c>
      <c r="D60" s="21">
        <v>6.14</v>
      </c>
      <c r="E60" s="21">
        <v>9.1</v>
      </c>
      <c r="F60" s="21">
        <v>41.2</v>
      </c>
      <c r="G60" s="21">
        <v>203.71</v>
      </c>
    </row>
    <row r="61" spans="1:7" x14ac:dyDescent="0.25">
      <c r="A61" s="8"/>
      <c r="B61" s="5"/>
      <c r="C61" s="26"/>
      <c r="D61" s="43"/>
      <c r="E61" s="43"/>
      <c r="F61" s="43"/>
      <c r="G61" s="43"/>
    </row>
    <row r="62" spans="1:7" x14ac:dyDescent="0.25">
      <c r="A62" s="23"/>
      <c r="B62" s="28" t="s">
        <v>32</v>
      </c>
      <c r="C62" s="26">
        <f>SUM(C59:C61)</f>
        <v>300</v>
      </c>
      <c r="D62" s="43">
        <f t="shared" ref="D62:G62" si="6">SUM(D59:D60)</f>
        <v>7.74</v>
      </c>
      <c r="E62" s="43">
        <f t="shared" si="6"/>
        <v>10.199999999999999</v>
      </c>
      <c r="F62" s="43">
        <f t="shared" si="6"/>
        <v>49.900000000000006</v>
      </c>
      <c r="G62" s="44">
        <f t="shared" si="6"/>
        <v>254.61</v>
      </c>
    </row>
    <row r="63" spans="1:7" x14ac:dyDescent="0.25">
      <c r="A63" s="45"/>
      <c r="B63" s="28" t="s">
        <v>33</v>
      </c>
      <c r="C63" s="26">
        <f>C62+C56+C46</f>
        <v>1575</v>
      </c>
      <c r="D63" s="43">
        <f t="shared" ref="D63:G63" si="7">D62+D56+D46</f>
        <v>53.606666666666655</v>
      </c>
      <c r="E63" s="26">
        <f t="shared" si="7"/>
        <v>54.155000000000001</v>
      </c>
      <c r="F63" s="26">
        <f t="shared" si="7"/>
        <v>239.18</v>
      </c>
      <c r="G63" s="26">
        <f t="shared" si="7"/>
        <v>1509.1933333333334</v>
      </c>
    </row>
    <row r="64" spans="1:7" x14ac:dyDescent="0.25">
      <c r="A64" s="293" t="s">
        <v>34</v>
      </c>
      <c r="B64" s="294"/>
      <c r="C64" s="294"/>
      <c r="D64" s="294"/>
      <c r="E64" s="294"/>
      <c r="F64" s="294"/>
      <c r="G64" s="294"/>
    </row>
    <row r="65" spans="1:79" x14ac:dyDescent="0.25">
      <c r="A65" s="293" t="s">
        <v>43</v>
      </c>
      <c r="B65" s="294"/>
      <c r="C65" s="294"/>
      <c r="D65" s="294"/>
      <c r="E65" s="294"/>
      <c r="F65" s="294"/>
      <c r="G65" s="294"/>
    </row>
    <row r="66" spans="1:79" x14ac:dyDescent="0.25">
      <c r="A66" s="285" t="s">
        <v>18</v>
      </c>
      <c r="B66" s="286"/>
      <c r="C66" s="286"/>
      <c r="D66" s="286"/>
      <c r="E66" s="286"/>
      <c r="F66" s="286"/>
      <c r="G66" s="286"/>
    </row>
    <row r="67" spans="1:79" x14ac:dyDescent="0.25">
      <c r="A67" s="287" t="s">
        <v>19</v>
      </c>
      <c r="B67" s="296"/>
      <c r="C67" s="296"/>
      <c r="D67" s="296"/>
      <c r="E67" s="296"/>
      <c r="F67" s="296"/>
      <c r="G67" s="296"/>
    </row>
    <row r="68" spans="1:79" ht="26.25" x14ac:dyDescent="0.25">
      <c r="A68" s="14" t="s">
        <v>141</v>
      </c>
      <c r="B68" s="4" t="s">
        <v>143</v>
      </c>
      <c r="C68" s="16">
        <v>250</v>
      </c>
      <c r="D68" s="11">
        <v>7.5</v>
      </c>
      <c r="E68" s="11">
        <f>5.8/200*C68</f>
        <v>7.2499999999999991</v>
      </c>
      <c r="F68" s="11">
        <f>32.1/200*C68</f>
        <v>40.125</v>
      </c>
      <c r="G68" s="11">
        <f>208.3/200*C68</f>
        <v>260.375</v>
      </c>
    </row>
    <row r="69" spans="1:79" x14ac:dyDescent="0.25">
      <c r="A69" s="8" t="s">
        <v>140</v>
      </c>
      <c r="B69" s="32" t="s">
        <v>20</v>
      </c>
      <c r="C69" s="9">
        <v>200</v>
      </c>
      <c r="D69" s="10">
        <f>0.2/200*C69</f>
        <v>0.2</v>
      </c>
      <c r="E69" s="10">
        <v>0</v>
      </c>
      <c r="F69" s="10">
        <f>6.5/200*C69</f>
        <v>6.5</v>
      </c>
      <c r="G69" s="10">
        <f>26.8/200*C69</f>
        <v>26.8</v>
      </c>
    </row>
    <row r="70" spans="1:79" x14ac:dyDescent="0.25">
      <c r="A70" s="4" t="s">
        <v>191</v>
      </c>
      <c r="B70" s="35" t="s">
        <v>21</v>
      </c>
      <c r="C70" s="6">
        <v>10</v>
      </c>
      <c r="D70" s="61">
        <v>5</v>
      </c>
      <c r="E70" s="61">
        <v>10</v>
      </c>
      <c r="F70" s="61">
        <f>7.2/10*C70</f>
        <v>7.1999999999999993</v>
      </c>
      <c r="G70" s="61">
        <f>1/10*C70</f>
        <v>1</v>
      </c>
    </row>
    <row r="71" spans="1:79" x14ac:dyDescent="0.25">
      <c r="A71" s="14" t="s">
        <v>124</v>
      </c>
      <c r="B71" s="35" t="s">
        <v>23</v>
      </c>
      <c r="C71" s="6">
        <v>25</v>
      </c>
      <c r="D71" s="10">
        <f>1.5/25*C71</f>
        <v>1.5</v>
      </c>
      <c r="E71" s="10">
        <f>0.5/25*C71</f>
        <v>0.5</v>
      </c>
      <c r="F71" s="10">
        <f>10.2/25*C71</f>
        <v>10.199999999999999</v>
      </c>
      <c r="G71" s="10">
        <f>52/25*C71</f>
        <v>52</v>
      </c>
    </row>
    <row r="72" spans="1:79" x14ac:dyDescent="0.25">
      <c r="A72" s="14" t="s">
        <v>124</v>
      </c>
      <c r="B72" s="32" t="s">
        <v>24</v>
      </c>
      <c r="C72" s="16">
        <v>40</v>
      </c>
      <c r="D72" s="25">
        <f>3.4/45*C72</f>
        <v>3.0222222222222221</v>
      </c>
      <c r="E72" s="25">
        <f>0.4/45*C72</f>
        <v>0.35555555555555557</v>
      </c>
      <c r="F72" s="25">
        <f>22.1/45*C72</f>
        <v>19.644444444444446</v>
      </c>
      <c r="G72" s="25">
        <f>105.8/45*C72</f>
        <v>94.044444444444437</v>
      </c>
    </row>
    <row r="73" spans="1:79" x14ac:dyDescent="0.25">
      <c r="A73" s="15"/>
      <c r="B73" s="32"/>
      <c r="C73" s="16"/>
      <c r="D73" s="11"/>
      <c r="E73" s="11"/>
      <c r="F73" s="11"/>
      <c r="G73" s="11"/>
    </row>
    <row r="74" spans="1:79" x14ac:dyDescent="0.25">
      <c r="A74" s="14"/>
      <c r="B74" s="6" t="s">
        <v>25</v>
      </c>
      <c r="C74" s="46">
        <f>SUM(C68:C73)</f>
        <v>525</v>
      </c>
      <c r="D74" s="47">
        <f t="shared" ref="D74:G74" si="8">SUM(D68:D73)</f>
        <v>17.222222222222221</v>
      </c>
      <c r="E74" s="47">
        <f t="shared" si="8"/>
        <v>18.105555555555554</v>
      </c>
      <c r="F74" s="46">
        <f t="shared" si="8"/>
        <v>83.669444444444451</v>
      </c>
      <c r="G74" s="47">
        <f t="shared" si="8"/>
        <v>434.21944444444443</v>
      </c>
    </row>
    <row r="75" spans="1:79" x14ac:dyDescent="0.25">
      <c r="A75" s="305" t="s">
        <v>80</v>
      </c>
      <c r="B75" s="305"/>
      <c r="C75" s="305"/>
      <c r="D75" s="305"/>
      <c r="E75" s="305"/>
      <c r="F75" s="305"/>
      <c r="G75" s="305"/>
    </row>
    <row r="76" spans="1:79" s="123" customFormat="1" x14ac:dyDescent="0.25">
      <c r="A76" s="49" t="s">
        <v>144</v>
      </c>
      <c r="B76" s="5" t="s">
        <v>81</v>
      </c>
      <c r="C76" s="90">
        <v>60</v>
      </c>
      <c r="D76" s="215">
        <f>0.8/60*C76</f>
        <v>0.8</v>
      </c>
      <c r="E76" s="61">
        <f>2.7/60*C76</f>
        <v>2.7</v>
      </c>
      <c r="F76" s="61">
        <f>4.6/60*C76</f>
        <v>4.5999999999999996</v>
      </c>
      <c r="G76" s="61">
        <f>45.6/60*C76</f>
        <v>45.6</v>
      </c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</row>
    <row r="77" spans="1:79" x14ac:dyDescent="0.25">
      <c r="A77" s="121">
        <v>63</v>
      </c>
      <c r="B77" s="243" t="s">
        <v>104</v>
      </c>
      <c r="C77" s="122">
        <v>180</v>
      </c>
      <c r="D77" s="42">
        <f>4.6/200*C77</f>
        <v>4.1399999999999997</v>
      </c>
      <c r="E77" s="42">
        <f>3.2/200*C77</f>
        <v>2.88</v>
      </c>
      <c r="F77" s="42">
        <f>9.8/200*C77</f>
        <v>8.82</v>
      </c>
      <c r="G77" s="42">
        <f>86/200*C77</f>
        <v>77.400000000000006</v>
      </c>
    </row>
    <row r="78" spans="1:79" x14ac:dyDescent="0.25">
      <c r="A78" s="4" t="s">
        <v>145</v>
      </c>
      <c r="B78" s="32" t="s">
        <v>106</v>
      </c>
      <c r="C78" s="51">
        <v>150</v>
      </c>
      <c r="D78" s="25">
        <f>8.2/150*C78</f>
        <v>8.1999999999999993</v>
      </c>
      <c r="E78" s="25">
        <f>6.3/150*C78</f>
        <v>6.2999999999999989</v>
      </c>
      <c r="F78" s="25">
        <f>35.9/150*C78</f>
        <v>35.9</v>
      </c>
      <c r="G78" s="86">
        <f>233.7/150*C78</f>
        <v>233.7</v>
      </c>
    </row>
    <row r="79" spans="1:79" x14ac:dyDescent="0.25">
      <c r="A79" s="14" t="s">
        <v>146</v>
      </c>
      <c r="B79" s="35" t="s">
        <v>59</v>
      </c>
      <c r="C79" s="6">
        <v>80</v>
      </c>
      <c r="D79" s="7">
        <v>5.7</v>
      </c>
      <c r="E79" s="7">
        <f>13.1/80*C79</f>
        <v>13.100000000000001</v>
      </c>
      <c r="F79" s="7">
        <f>12.4/80*C79</f>
        <v>12.4</v>
      </c>
      <c r="G79" s="7">
        <v>182.3</v>
      </c>
    </row>
    <row r="80" spans="1:79" s="81" customFormat="1" x14ac:dyDescent="0.25">
      <c r="A80" s="23" t="s">
        <v>147</v>
      </c>
      <c r="B80" s="5" t="s">
        <v>28</v>
      </c>
      <c r="C80" s="24">
        <v>200</v>
      </c>
      <c r="D80" s="25">
        <f>0.5/200*C80</f>
        <v>0.5</v>
      </c>
      <c r="E80" s="25">
        <v>0</v>
      </c>
      <c r="F80" s="25">
        <f>19.8/200*C80</f>
        <v>19.8</v>
      </c>
      <c r="G80" s="86">
        <f>81/200*C80</f>
        <v>81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</row>
    <row r="81" spans="1:7" x14ac:dyDescent="0.25">
      <c r="A81" s="4" t="s">
        <v>124</v>
      </c>
      <c r="B81" s="35" t="s">
        <v>23</v>
      </c>
      <c r="C81" s="6">
        <v>50</v>
      </c>
      <c r="D81" s="10">
        <f>1.5/25*C81</f>
        <v>3</v>
      </c>
      <c r="E81" s="10">
        <f>0.5/25*C81</f>
        <v>1</v>
      </c>
      <c r="F81" s="10">
        <f>10.2/25*C81</f>
        <v>20.399999999999999</v>
      </c>
      <c r="G81" s="10">
        <f>52/25*C81</f>
        <v>104</v>
      </c>
    </row>
    <row r="82" spans="1:7" x14ac:dyDescent="0.25">
      <c r="A82" s="4" t="s">
        <v>124</v>
      </c>
      <c r="B82" s="32" t="s">
        <v>24</v>
      </c>
      <c r="C82" s="16">
        <v>30</v>
      </c>
      <c r="D82" s="25">
        <f>3.4/45*C82</f>
        <v>2.2666666666666666</v>
      </c>
      <c r="E82" s="25">
        <f>0.4/45*C82</f>
        <v>0.26666666666666666</v>
      </c>
      <c r="F82" s="25">
        <f>22.1/45*C82</f>
        <v>14.733333333333334</v>
      </c>
      <c r="G82" s="25">
        <f>105.8/45*C82</f>
        <v>70.533333333333331</v>
      </c>
    </row>
    <row r="83" spans="1:7" x14ac:dyDescent="0.25">
      <c r="A83" s="4"/>
      <c r="B83" s="99"/>
      <c r="C83" s="100"/>
      <c r="D83" s="87"/>
      <c r="E83" s="87"/>
      <c r="F83" s="87"/>
      <c r="G83" s="87"/>
    </row>
    <row r="84" spans="1:7" x14ac:dyDescent="0.25">
      <c r="A84" s="4"/>
      <c r="B84" s="28" t="s">
        <v>29</v>
      </c>
      <c r="C84" s="28">
        <f t="shared" ref="C84:G84" si="9">SUM(C76:C83)</f>
        <v>750</v>
      </c>
      <c r="D84" s="54">
        <f t="shared" si="9"/>
        <v>24.606666666666666</v>
      </c>
      <c r="E84" s="28">
        <f t="shared" si="9"/>
        <v>26.246666666666666</v>
      </c>
      <c r="F84" s="28">
        <f t="shared" si="9"/>
        <v>116.65333333333332</v>
      </c>
      <c r="G84" s="54">
        <f t="shared" si="9"/>
        <v>794.5333333333333</v>
      </c>
    </row>
    <row r="85" spans="1:7" x14ac:dyDescent="0.25">
      <c r="A85" s="289" t="s">
        <v>82</v>
      </c>
      <c r="B85" s="290"/>
      <c r="C85" s="290"/>
      <c r="D85" s="290"/>
      <c r="E85" s="290"/>
      <c r="F85" s="290"/>
      <c r="G85" s="290"/>
    </row>
    <row r="86" spans="1:7" x14ac:dyDescent="0.25">
      <c r="A86" s="4" t="s">
        <v>148</v>
      </c>
      <c r="B86" s="32" t="s">
        <v>66</v>
      </c>
      <c r="C86" s="28">
        <v>150</v>
      </c>
      <c r="D86" s="56">
        <v>9.6999999999999993</v>
      </c>
      <c r="E86" s="56">
        <f>10.7/150*C86</f>
        <v>10.7</v>
      </c>
      <c r="F86" s="56">
        <v>31.7</v>
      </c>
      <c r="G86" s="56">
        <f>301.2/150*C86</f>
        <v>301.2</v>
      </c>
    </row>
    <row r="87" spans="1:7" x14ac:dyDescent="0.25">
      <c r="A87" s="8" t="s">
        <v>140</v>
      </c>
      <c r="B87" s="32" t="s">
        <v>20</v>
      </c>
      <c r="C87" s="9">
        <v>200</v>
      </c>
      <c r="D87" s="10">
        <f>0.2/200*C87</f>
        <v>0.2</v>
      </c>
      <c r="E87" s="10">
        <v>0</v>
      </c>
      <c r="F87" s="10">
        <f>6.5/200*C87</f>
        <v>6.5</v>
      </c>
      <c r="G87" s="10">
        <f>26.8/200*C87</f>
        <v>26.8</v>
      </c>
    </row>
    <row r="88" spans="1:7" x14ac:dyDescent="0.25">
      <c r="A88" s="4"/>
      <c r="B88" s="4"/>
      <c r="C88" s="28"/>
      <c r="D88" s="56"/>
      <c r="E88" s="56"/>
      <c r="F88" s="56"/>
      <c r="G88" s="56"/>
    </row>
    <row r="89" spans="1:7" x14ac:dyDescent="0.25">
      <c r="A89" s="4"/>
      <c r="B89" s="28" t="s">
        <v>32</v>
      </c>
      <c r="C89" s="28">
        <f>SUM(C86:C88)</f>
        <v>350</v>
      </c>
      <c r="D89" s="28">
        <f t="shared" ref="D89:G89" si="10">SUM(D86:D88)</f>
        <v>9.8999999999999986</v>
      </c>
      <c r="E89" s="28">
        <f t="shared" si="10"/>
        <v>10.7</v>
      </c>
      <c r="F89" s="28">
        <f t="shared" si="10"/>
        <v>38.200000000000003</v>
      </c>
      <c r="G89" s="28">
        <f t="shared" si="10"/>
        <v>328</v>
      </c>
    </row>
    <row r="90" spans="1:7" x14ac:dyDescent="0.25">
      <c r="A90" s="4"/>
      <c r="B90" s="28" t="s">
        <v>33</v>
      </c>
      <c r="C90" s="28">
        <f>C89+C84+C74</f>
        <v>1625</v>
      </c>
      <c r="D90" s="54">
        <f t="shared" ref="D90:G90" si="11">D89+D84+D74</f>
        <v>51.728888888888882</v>
      </c>
      <c r="E90" s="28">
        <f t="shared" si="11"/>
        <v>55.05222222222222</v>
      </c>
      <c r="F90" s="28">
        <f t="shared" si="11"/>
        <v>238.52277777777778</v>
      </c>
      <c r="G90" s="28">
        <f t="shared" si="11"/>
        <v>1556.7527777777777</v>
      </c>
    </row>
    <row r="91" spans="1:7" x14ac:dyDescent="0.25">
      <c r="A91" s="293" t="s">
        <v>34</v>
      </c>
      <c r="B91" s="294"/>
      <c r="C91" s="294"/>
      <c r="D91" s="294"/>
      <c r="E91" s="294"/>
      <c r="F91" s="294"/>
      <c r="G91" s="294"/>
    </row>
    <row r="92" spans="1:7" x14ac:dyDescent="0.25">
      <c r="A92" s="293" t="s">
        <v>47</v>
      </c>
      <c r="B92" s="294"/>
      <c r="C92" s="294"/>
      <c r="D92" s="294"/>
      <c r="E92" s="294"/>
      <c r="F92" s="294"/>
      <c r="G92" s="294"/>
    </row>
    <row r="93" spans="1:7" x14ac:dyDescent="0.25">
      <c r="A93" s="285" t="s">
        <v>18</v>
      </c>
      <c r="B93" s="286"/>
      <c r="C93" s="286"/>
      <c r="D93" s="286"/>
      <c r="E93" s="286"/>
      <c r="F93" s="286"/>
      <c r="G93" s="286"/>
    </row>
    <row r="94" spans="1:7" ht="15" customHeight="1" x14ac:dyDescent="0.25">
      <c r="A94" s="287" t="s">
        <v>19</v>
      </c>
      <c r="B94" s="288"/>
      <c r="C94" s="288"/>
      <c r="D94" s="288"/>
      <c r="E94" s="288"/>
      <c r="F94" s="288"/>
      <c r="G94" s="288"/>
    </row>
    <row r="95" spans="1:7" x14ac:dyDescent="0.25">
      <c r="A95" s="8" t="s">
        <v>149</v>
      </c>
      <c r="B95" s="5" t="s">
        <v>69</v>
      </c>
      <c r="C95" s="24">
        <v>250</v>
      </c>
      <c r="D95" s="10">
        <f>6.12/250*C95</f>
        <v>6.12</v>
      </c>
      <c r="E95" s="10">
        <f>5.63/250*C95</f>
        <v>5.63</v>
      </c>
      <c r="F95" s="10">
        <f>22.98/250*C95</f>
        <v>22.98</v>
      </c>
      <c r="G95" s="10">
        <f>166.85/250*C95</f>
        <v>166.85</v>
      </c>
    </row>
    <row r="96" spans="1:7" x14ac:dyDescent="0.25">
      <c r="A96" s="8" t="s">
        <v>150</v>
      </c>
      <c r="B96" s="32" t="s">
        <v>36</v>
      </c>
      <c r="C96" s="9">
        <v>200</v>
      </c>
      <c r="D96" s="10">
        <f>3.8/200*C96</f>
        <v>3.8</v>
      </c>
      <c r="E96" s="10">
        <f>2.9/200*C96</f>
        <v>2.9</v>
      </c>
      <c r="F96" s="10">
        <f>11.3/200*C96</f>
        <v>11.3</v>
      </c>
      <c r="G96" s="10">
        <f>86/200*C96</f>
        <v>86</v>
      </c>
    </row>
    <row r="97" spans="1:79" x14ac:dyDescent="0.25">
      <c r="A97" s="14" t="s">
        <v>135</v>
      </c>
      <c r="B97" s="35" t="s">
        <v>22</v>
      </c>
      <c r="C97" s="6">
        <v>15</v>
      </c>
      <c r="D97" s="7">
        <f>3.5/15*C97</f>
        <v>3.5</v>
      </c>
      <c r="E97" s="7">
        <f>4.4/15*C97</f>
        <v>4.4000000000000004</v>
      </c>
      <c r="F97" s="7">
        <v>0</v>
      </c>
      <c r="G97" s="7">
        <f>53.7/15*C97</f>
        <v>53.7</v>
      </c>
    </row>
    <row r="98" spans="1:79" x14ac:dyDescent="0.25">
      <c r="A98" s="14" t="s">
        <v>124</v>
      </c>
      <c r="B98" s="35" t="s">
        <v>23</v>
      </c>
      <c r="C98" s="6">
        <v>30</v>
      </c>
      <c r="D98" s="10">
        <f>1.5/25*C98</f>
        <v>1.7999999999999998</v>
      </c>
      <c r="E98" s="10">
        <v>2.6</v>
      </c>
      <c r="F98" s="10">
        <f>10.2/25*C98</f>
        <v>12.239999999999998</v>
      </c>
      <c r="G98" s="10">
        <f>52/25*C98</f>
        <v>62.400000000000006</v>
      </c>
    </row>
    <row r="99" spans="1:79" x14ac:dyDescent="0.25">
      <c r="A99" s="14" t="s">
        <v>124</v>
      </c>
      <c r="B99" s="32" t="s">
        <v>24</v>
      </c>
      <c r="C99" s="16">
        <v>45</v>
      </c>
      <c r="D99" s="25">
        <f>3.4/45*C99</f>
        <v>3.4</v>
      </c>
      <c r="E99" s="25">
        <f>0.4/45*C99</f>
        <v>0.4</v>
      </c>
      <c r="F99" s="25">
        <f>22.1/45*C99</f>
        <v>22.1</v>
      </c>
      <c r="G99" s="25">
        <f>105.8/45*C99</f>
        <v>105.8</v>
      </c>
    </row>
    <row r="100" spans="1:79" x14ac:dyDescent="0.25">
      <c r="A100" s="14"/>
      <c r="B100" s="32"/>
      <c r="C100" s="16"/>
      <c r="D100" s="11"/>
      <c r="E100" s="11"/>
      <c r="F100" s="11"/>
      <c r="G100" s="11"/>
    </row>
    <row r="101" spans="1:79" x14ac:dyDescent="0.25">
      <c r="A101" s="4"/>
      <c r="B101" s="28" t="s">
        <v>37</v>
      </c>
      <c r="C101" s="28">
        <f>SUM(C95:C99)</f>
        <v>540</v>
      </c>
      <c r="D101" s="54">
        <f t="shared" ref="D101:G101" si="12">SUM(D95:D99)</f>
        <v>18.619999999999997</v>
      </c>
      <c r="E101" s="54">
        <f t="shared" si="12"/>
        <v>15.93</v>
      </c>
      <c r="F101" s="54">
        <f t="shared" si="12"/>
        <v>68.62</v>
      </c>
      <c r="G101" s="138">
        <f t="shared" si="12"/>
        <v>474.75000000000006</v>
      </c>
    </row>
    <row r="102" spans="1:79" ht="15" customHeight="1" x14ac:dyDescent="0.25">
      <c r="A102" s="289" t="s">
        <v>26</v>
      </c>
      <c r="B102" s="290"/>
      <c r="C102" s="290"/>
      <c r="D102" s="290"/>
      <c r="E102" s="290"/>
      <c r="F102" s="290"/>
      <c r="G102" s="290"/>
    </row>
    <row r="103" spans="1:79" x14ac:dyDescent="0.25">
      <c r="A103" s="302"/>
      <c r="B103" s="303"/>
      <c r="C103" s="303"/>
      <c r="D103" s="303"/>
      <c r="E103" s="303"/>
      <c r="F103" s="303"/>
      <c r="G103" s="303"/>
    </row>
    <row r="104" spans="1:79" x14ac:dyDescent="0.25">
      <c r="A104" s="8" t="s">
        <v>151</v>
      </c>
      <c r="B104" s="97" t="s">
        <v>38</v>
      </c>
      <c r="C104" s="59">
        <v>200</v>
      </c>
      <c r="D104" s="135">
        <f>5.1/200*C104</f>
        <v>5.0999999999999996</v>
      </c>
      <c r="E104" s="135">
        <f>5.8/200*C104</f>
        <v>5.8</v>
      </c>
      <c r="F104" s="135">
        <f>10.8/200*C104</f>
        <v>10.8</v>
      </c>
      <c r="G104" s="136">
        <f>115.6/200*C104</f>
        <v>115.6</v>
      </c>
    </row>
    <row r="105" spans="1:79" ht="16.5" customHeight="1" x14ac:dyDescent="0.25">
      <c r="A105" s="8" t="s">
        <v>126</v>
      </c>
      <c r="B105" s="5" t="s">
        <v>152</v>
      </c>
      <c r="C105" s="24">
        <v>60</v>
      </c>
      <c r="D105" s="25">
        <f>0.5/60*C105</f>
        <v>0.5</v>
      </c>
      <c r="E105" s="25">
        <f>0.1/60*C105</f>
        <v>0.1</v>
      </c>
      <c r="F105" s="25">
        <f>1.5/60*C105</f>
        <v>1.5</v>
      </c>
      <c r="G105" s="25">
        <f>8.5/60*C105</f>
        <v>8.5</v>
      </c>
    </row>
    <row r="106" spans="1:79" x14ac:dyDescent="0.25">
      <c r="A106" s="8" t="s">
        <v>153</v>
      </c>
      <c r="B106" s="113" t="s">
        <v>40</v>
      </c>
      <c r="C106" s="104">
        <v>150</v>
      </c>
      <c r="D106" s="62">
        <v>0.9</v>
      </c>
      <c r="E106" s="62">
        <v>8.3000000000000007</v>
      </c>
      <c r="F106" s="62">
        <v>19.8</v>
      </c>
      <c r="G106" s="21">
        <f>139.4/150*C106</f>
        <v>139.4</v>
      </c>
    </row>
    <row r="107" spans="1:79" x14ac:dyDescent="0.25">
      <c r="A107" s="19" t="s">
        <v>154</v>
      </c>
      <c r="B107" s="32" t="s">
        <v>61</v>
      </c>
      <c r="C107" s="20">
        <v>100</v>
      </c>
      <c r="D107" s="21">
        <f>12.9/100*C107</f>
        <v>12.9</v>
      </c>
      <c r="E107" s="21">
        <f>4/100*C107</f>
        <v>4</v>
      </c>
      <c r="F107" s="21">
        <v>7.1</v>
      </c>
      <c r="G107" s="21">
        <f>112.2/100*C107</f>
        <v>112.20000000000002</v>
      </c>
    </row>
    <row r="108" spans="1:79" x14ac:dyDescent="0.25">
      <c r="A108" s="240" t="s">
        <v>131</v>
      </c>
      <c r="B108" s="5" t="s">
        <v>41</v>
      </c>
      <c r="C108" s="41">
        <v>40</v>
      </c>
      <c r="D108" s="42">
        <f>0.54/30*C108</f>
        <v>0.72000000000000008</v>
      </c>
      <c r="E108" s="42">
        <f>3.67/30*C108</f>
        <v>4.8933333333333335</v>
      </c>
      <c r="F108" s="42">
        <f>5.24/30*C108</f>
        <v>6.9866666666666664</v>
      </c>
      <c r="G108" s="25">
        <f>56.16/30*C108</f>
        <v>74.88</v>
      </c>
    </row>
    <row r="109" spans="1:79" s="132" customFormat="1" x14ac:dyDescent="0.25">
      <c r="A109" s="4">
        <v>256</v>
      </c>
      <c r="B109" s="36" t="s">
        <v>83</v>
      </c>
      <c r="C109" s="90">
        <v>200</v>
      </c>
      <c r="D109" s="61">
        <f>0.6/200*C109</f>
        <v>0.6</v>
      </c>
      <c r="E109" s="61">
        <f>0.28/200*C109</f>
        <v>0.28000000000000003</v>
      </c>
      <c r="F109" s="61">
        <f>15.2/200*C109</f>
        <v>15.2</v>
      </c>
      <c r="G109" s="133">
        <f>65.3/200*C109</f>
        <v>65.3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</row>
    <row r="110" spans="1:79" x14ac:dyDescent="0.25">
      <c r="A110" s="121" t="s">
        <v>124</v>
      </c>
      <c r="B110" s="35" t="s">
        <v>23</v>
      </c>
      <c r="C110" s="6">
        <v>60</v>
      </c>
      <c r="D110" s="10">
        <f>1.5/25*C110</f>
        <v>3.5999999999999996</v>
      </c>
      <c r="E110" s="10">
        <f>0.5/25*C110</f>
        <v>1.2</v>
      </c>
      <c r="F110" s="10">
        <f>10.2/25*C110</f>
        <v>24.479999999999997</v>
      </c>
      <c r="G110" s="10">
        <f>52/25*C110</f>
        <v>124.80000000000001</v>
      </c>
    </row>
    <row r="111" spans="1:79" x14ac:dyDescent="0.25">
      <c r="A111" s="239" t="s">
        <v>124</v>
      </c>
      <c r="B111" s="32" t="s">
        <v>24</v>
      </c>
      <c r="C111" s="16">
        <v>30</v>
      </c>
      <c r="D111" s="25">
        <f>3.4/45*C111</f>
        <v>2.2666666666666666</v>
      </c>
      <c r="E111" s="25">
        <f>0.4/45*C111</f>
        <v>0.26666666666666666</v>
      </c>
      <c r="F111" s="25">
        <f>22.1/45*C111</f>
        <v>14.733333333333334</v>
      </c>
      <c r="G111" s="25">
        <f>105.8/45*C111</f>
        <v>70.533333333333331</v>
      </c>
    </row>
    <row r="112" spans="1:79" x14ac:dyDescent="0.25">
      <c r="A112" s="4"/>
      <c r="B112" s="4"/>
      <c r="C112" s="53"/>
      <c r="D112" s="56"/>
      <c r="E112" s="56"/>
      <c r="F112" s="56"/>
      <c r="G112" s="56"/>
    </row>
    <row r="113" spans="1:7" x14ac:dyDescent="0.25">
      <c r="A113" s="4"/>
      <c r="B113" s="28" t="s">
        <v>29</v>
      </c>
      <c r="C113" s="28">
        <f>SUM(C104:C112)</f>
        <v>840</v>
      </c>
      <c r="D113" s="54">
        <f t="shared" ref="D113:G113" si="13">SUM(D104:D112)</f>
        <v>26.586666666666666</v>
      </c>
      <c r="E113" s="54">
        <f t="shared" si="13"/>
        <v>24.84</v>
      </c>
      <c r="F113" s="55">
        <f t="shared" si="13"/>
        <v>100.60000000000001</v>
      </c>
      <c r="G113" s="55">
        <f t="shared" si="13"/>
        <v>711.21333333333337</v>
      </c>
    </row>
    <row r="114" spans="1:7" x14ac:dyDescent="0.25">
      <c r="A114" s="4"/>
      <c r="B114" s="289" t="s">
        <v>30</v>
      </c>
      <c r="C114" s="290"/>
      <c r="D114" s="290"/>
      <c r="E114" s="290"/>
      <c r="F114" s="290"/>
      <c r="G114" s="290"/>
    </row>
    <row r="115" spans="1:7" x14ac:dyDescent="0.25">
      <c r="A115" s="8" t="s">
        <v>140</v>
      </c>
      <c r="B115" s="32" t="s">
        <v>20</v>
      </c>
      <c r="C115" s="9">
        <v>200</v>
      </c>
      <c r="D115" s="10">
        <f>0.2/200*C115</f>
        <v>0.2</v>
      </c>
      <c r="E115" s="10">
        <v>0</v>
      </c>
      <c r="F115" s="10">
        <v>26.5</v>
      </c>
      <c r="G115" s="10">
        <f>26.8/200*C115</f>
        <v>26.8</v>
      </c>
    </row>
    <row r="116" spans="1:7" x14ac:dyDescent="0.25">
      <c r="A116" s="4" t="s">
        <v>155</v>
      </c>
      <c r="B116" s="32" t="s">
        <v>50</v>
      </c>
      <c r="C116" s="28">
        <v>150</v>
      </c>
      <c r="D116" s="56">
        <v>7.7</v>
      </c>
      <c r="E116" s="56">
        <f>18/150*C116</f>
        <v>18</v>
      </c>
      <c r="F116" s="56">
        <v>13.2</v>
      </c>
      <c r="G116" s="139">
        <f>225.5/150*C116</f>
        <v>225.5</v>
      </c>
    </row>
    <row r="117" spans="1:7" x14ac:dyDescent="0.25">
      <c r="A117" s="4"/>
      <c r="B117" s="32"/>
      <c r="C117" s="28"/>
      <c r="D117" s="56"/>
      <c r="E117" s="56"/>
      <c r="F117" s="56"/>
      <c r="G117" s="56"/>
    </row>
    <row r="118" spans="1:7" x14ac:dyDescent="0.25">
      <c r="A118" s="4"/>
      <c r="B118" s="28" t="s">
        <v>32</v>
      </c>
      <c r="C118" s="28">
        <f>SUM(C115:C117)</f>
        <v>350</v>
      </c>
      <c r="D118" s="54">
        <f t="shared" ref="D118:G118" si="14">SUM(D115:D116)</f>
        <v>7.9</v>
      </c>
      <c r="E118" s="54">
        <f t="shared" si="14"/>
        <v>18</v>
      </c>
      <c r="F118" s="54">
        <f t="shared" si="14"/>
        <v>39.700000000000003</v>
      </c>
      <c r="G118" s="55">
        <f t="shared" si="14"/>
        <v>252.3</v>
      </c>
    </row>
    <row r="119" spans="1:7" x14ac:dyDescent="0.25">
      <c r="A119" s="4"/>
      <c r="B119" s="28" t="s">
        <v>33</v>
      </c>
      <c r="C119" s="28">
        <f>C118+C113+C101</f>
        <v>1730</v>
      </c>
      <c r="D119" s="54">
        <f t="shared" ref="D119:G119" si="15">D118+D113+D101</f>
        <v>53.106666666666662</v>
      </c>
      <c r="E119" s="28">
        <f t="shared" si="15"/>
        <v>58.77</v>
      </c>
      <c r="F119" s="28">
        <f t="shared" si="15"/>
        <v>208.92000000000002</v>
      </c>
      <c r="G119" s="138">
        <f t="shared" si="15"/>
        <v>1438.2633333333333</v>
      </c>
    </row>
    <row r="120" spans="1:7" x14ac:dyDescent="0.25">
      <c r="A120" s="293" t="s">
        <v>34</v>
      </c>
      <c r="B120" s="294"/>
      <c r="C120" s="294"/>
      <c r="D120" s="294"/>
      <c r="E120" s="294"/>
      <c r="F120" s="294"/>
      <c r="G120" s="294"/>
    </row>
    <row r="121" spans="1:7" x14ac:dyDescent="0.25">
      <c r="A121" s="293" t="s">
        <v>51</v>
      </c>
      <c r="B121" s="294"/>
      <c r="C121" s="294"/>
      <c r="D121" s="294"/>
      <c r="E121" s="294"/>
      <c r="F121" s="294"/>
      <c r="G121" s="294"/>
    </row>
    <row r="122" spans="1:7" x14ac:dyDescent="0.25">
      <c r="A122" s="285" t="s">
        <v>18</v>
      </c>
      <c r="B122" s="286"/>
      <c r="C122" s="286"/>
      <c r="D122" s="286"/>
      <c r="E122" s="286"/>
      <c r="F122" s="286"/>
      <c r="G122" s="286"/>
    </row>
    <row r="123" spans="1:7" x14ac:dyDescent="0.25">
      <c r="A123" s="287" t="s">
        <v>19</v>
      </c>
      <c r="B123" s="288"/>
      <c r="C123" s="288"/>
      <c r="D123" s="288"/>
      <c r="E123" s="288"/>
      <c r="F123" s="288"/>
      <c r="G123" s="288"/>
    </row>
    <row r="124" spans="1:7" ht="26.25" x14ac:dyDescent="0.25">
      <c r="A124" s="49" t="s">
        <v>142</v>
      </c>
      <c r="B124" s="32" t="s">
        <v>73</v>
      </c>
      <c r="C124" s="24">
        <v>200</v>
      </c>
      <c r="D124" s="10">
        <v>2.1</v>
      </c>
      <c r="E124" s="10">
        <v>8.8000000000000007</v>
      </c>
      <c r="F124" s="10">
        <f>26.6/200*C124</f>
        <v>26.6</v>
      </c>
      <c r="G124" s="10">
        <f>187.3/200*C124</f>
        <v>187.3</v>
      </c>
    </row>
    <row r="125" spans="1:7" x14ac:dyDescent="0.25">
      <c r="A125" s="8" t="s">
        <v>156</v>
      </c>
      <c r="B125" s="32" t="s">
        <v>122</v>
      </c>
      <c r="C125" s="9">
        <v>200</v>
      </c>
      <c r="D125" s="10">
        <f>1.6/200*C125</f>
        <v>1.6</v>
      </c>
      <c r="E125" s="10">
        <f>1.1/200*C125</f>
        <v>1.1000000000000001</v>
      </c>
      <c r="F125" s="10">
        <f>8.7/200*C125</f>
        <v>8.6999999999999993</v>
      </c>
      <c r="G125" s="10">
        <f>50.9/200*C125</f>
        <v>50.9</v>
      </c>
    </row>
    <row r="126" spans="1:7" x14ac:dyDescent="0.25">
      <c r="A126" s="4" t="s">
        <v>191</v>
      </c>
      <c r="B126" s="35" t="s">
        <v>21</v>
      </c>
      <c r="C126" s="6">
        <v>10</v>
      </c>
      <c r="D126" s="61">
        <f>10/10*C126</f>
        <v>10</v>
      </c>
      <c r="E126" s="61">
        <f>0.1/10*C126</f>
        <v>0.1</v>
      </c>
      <c r="F126" s="61">
        <f>7.2/10*C126</f>
        <v>7.1999999999999993</v>
      </c>
      <c r="G126" s="61">
        <v>5</v>
      </c>
    </row>
    <row r="127" spans="1:7" x14ac:dyDescent="0.25">
      <c r="A127" s="14" t="s">
        <v>124</v>
      </c>
      <c r="B127" s="35" t="s">
        <v>23</v>
      </c>
      <c r="C127" s="6">
        <v>25</v>
      </c>
      <c r="D127" s="10">
        <f>1.5/25*C127</f>
        <v>1.5</v>
      </c>
      <c r="E127" s="10">
        <f>0.5/25*C127</f>
        <v>0.5</v>
      </c>
      <c r="F127" s="10">
        <f>10.2/25*C127</f>
        <v>10.199999999999999</v>
      </c>
      <c r="G127" s="10">
        <v>55</v>
      </c>
    </row>
    <row r="128" spans="1:7" x14ac:dyDescent="0.25">
      <c r="A128" s="14" t="s">
        <v>124</v>
      </c>
      <c r="B128" s="32" t="s">
        <v>24</v>
      </c>
      <c r="C128" s="16">
        <v>45</v>
      </c>
      <c r="D128" s="25">
        <f>3.4/45*C128</f>
        <v>3.4</v>
      </c>
      <c r="E128" s="25">
        <f>0.4/45*C128</f>
        <v>0.4</v>
      </c>
      <c r="F128" s="25">
        <f>22.1/45*C128</f>
        <v>22.1</v>
      </c>
      <c r="G128" s="25">
        <f>105.8/45*C128</f>
        <v>105.8</v>
      </c>
    </row>
    <row r="129" spans="1:79" x14ac:dyDescent="0.25">
      <c r="A129" s="14" t="s">
        <v>124</v>
      </c>
      <c r="B129" s="32" t="s">
        <v>107</v>
      </c>
      <c r="C129" s="16">
        <v>100</v>
      </c>
      <c r="D129" s="25">
        <v>0.1</v>
      </c>
      <c r="E129" s="25">
        <v>5</v>
      </c>
      <c r="F129" s="25">
        <f>0.8/100*C129</f>
        <v>0.8</v>
      </c>
      <c r="G129" s="25">
        <v>67</v>
      </c>
    </row>
    <row r="130" spans="1:79" x14ac:dyDescent="0.25">
      <c r="A130" s="15"/>
      <c r="B130" s="32"/>
      <c r="C130" s="16"/>
      <c r="D130" s="11"/>
      <c r="E130" s="11"/>
      <c r="F130" s="11"/>
      <c r="G130" s="11"/>
    </row>
    <row r="131" spans="1:79" x14ac:dyDescent="0.25">
      <c r="A131" s="4"/>
      <c r="B131" s="28" t="s">
        <v>37</v>
      </c>
      <c r="C131" s="28">
        <f>SUM(C124:C130)</f>
        <v>580</v>
      </c>
      <c r="D131" s="28">
        <f t="shared" ref="D131:G131" si="16">SUM(D124:D130)</f>
        <v>18.7</v>
      </c>
      <c r="E131" s="28">
        <f t="shared" si="16"/>
        <v>15.9</v>
      </c>
      <c r="F131" s="28">
        <f t="shared" si="16"/>
        <v>75.600000000000009</v>
      </c>
      <c r="G131" s="28">
        <f t="shared" si="16"/>
        <v>471.00000000000006</v>
      </c>
    </row>
    <row r="132" spans="1:79" x14ac:dyDescent="0.25">
      <c r="A132" s="289" t="s">
        <v>26</v>
      </c>
      <c r="B132" s="290"/>
      <c r="C132" s="299"/>
      <c r="D132" s="299"/>
      <c r="E132" s="299"/>
      <c r="F132" s="299"/>
      <c r="G132" s="299"/>
    </row>
    <row r="133" spans="1:79" ht="14.25" customHeight="1" x14ac:dyDescent="0.25">
      <c r="A133" s="19">
        <v>9</v>
      </c>
      <c r="B133" s="201" t="s">
        <v>84</v>
      </c>
      <c r="C133" s="46">
        <v>60</v>
      </c>
      <c r="D133" s="220">
        <v>1.8</v>
      </c>
      <c r="E133" s="220">
        <v>6.4</v>
      </c>
      <c r="F133" s="126">
        <v>2.1</v>
      </c>
      <c r="G133" s="126">
        <f>37.6/60*C133</f>
        <v>37.6</v>
      </c>
    </row>
    <row r="134" spans="1:79" x14ac:dyDescent="0.25">
      <c r="A134" s="200" t="s">
        <v>157</v>
      </c>
      <c r="B134" s="88" t="s">
        <v>52</v>
      </c>
      <c r="C134" s="142">
        <v>180</v>
      </c>
      <c r="D134" s="135">
        <f>3.23/200*C134</f>
        <v>2.907</v>
      </c>
      <c r="E134" s="135">
        <f>5.78/200*C134</f>
        <v>5.202</v>
      </c>
      <c r="F134" s="135">
        <f>33.5/200*C134</f>
        <v>30.150000000000002</v>
      </c>
      <c r="G134" s="136">
        <f>284.1/200*C134</f>
        <v>255.69000000000003</v>
      </c>
    </row>
    <row r="135" spans="1:79" s="123" customFormat="1" x14ac:dyDescent="0.25">
      <c r="A135" s="23" t="s">
        <v>192</v>
      </c>
      <c r="B135" s="5" t="s">
        <v>85</v>
      </c>
      <c r="C135" s="114">
        <v>150</v>
      </c>
      <c r="D135" s="61">
        <f>5.9/200*C135</f>
        <v>4.4250000000000007</v>
      </c>
      <c r="E135" s="61">
        <f>7/200*C135</f>
        <v>5.2500000000000009</v>
      </c>
      <c r="F135" s="61">
        <f>40.6/200*C135</f>
        <v>30.450000000000003</v>
      </c>
      <c r="G135" s="61">
        <f>249.5/200*C135</f>
        <v>187.125</v>
      </c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</row>
    <row r="136" spans="1:79" x14ac:dyDescent="0.25">
      <c r="A136" s="121" t="s">
        <v>115</v>
      </c>
      <c r="B136" s="266" t="s">
        <v>86</v>
      </c>
      <c r="C136" s="134">
        <v>100</v>
      </c>
      <c r="D136" s="106">
        <f>8.2/100*C136</f>
        <v>8.1999999999999993</v>
      </c>
      <c r="E136" s="106">
        <f>5.3/100*C136</f>
        <v>5.3</v>
      </c>
      <c r="F136" s="106">
        <f>2.6/100*C136</f>
        <v>2.6</v>
      </c>
      <c r="G136" s="106">
        <f>91.4/100*C136</f>
        <v>91.4</v>
      </c>
    </row>
    <row r="137" spans="1:79" x14ac:dyDescent="0.25">
      <c r="A137" s="4">
        <v>233</v>
      </c>
      <c r="B137" s="5" t="s">
        <v>99</v>
      </c>
      <c r="C137" s="26">
        <v>200</v>
      </c>
      <c r="D137" s="61">
        <f>0.2/200*C137</f>
        <v>0.2</v>
      </c>
      <c r="E137" s="61">
        <f>0.1/200*C137</f>
        <v>0.1</v>
      </c>
      <c r="F137" s="61">
        <f>12.3/200*C137</f>
        <v>12.3</v>
      </c>
      <c r="G137" s="133">
        <f>50.5/200*C137</f>
        <v>50.5</v>
      </c>
    </row>
    <row r="138" spans="1:79" x14ac:dyDescent="0.25">
      <c r="A138" s="4" t="s">
        <v>124</v>
      </c>
      <c r="B138" s="35" t="s">
        <v>23</v>
      </c>
      <c r="C138" s="6">
        <v>60</v>
      </c>
      <c r="D138" s="10">
        <f>1.5/25*C138</f>
        <v>3.5999999999999996</v>
      </c>
      <c r="E138" s="10">
        <f>0.5/25*C138</f>
        <v>1.2</v>
      </c>
      <c r="F138" s="10">
        <f>10.2/25*C138</f>
        <v>24.479999999999997</v>
      </c>
      <c r="G138" s="10">
        <f>52/25*C138</f>
        <v>124.80000000000001</v>
      </c>
    </row>
    <row r="139" spans="1:79" x14ac:dyDescent="0.25">
      <c r="A139" s="4" t="s">
        <v>124</v>
      </c>
      <c r="B139" s="32" t="s">
        <v>24</v>
      </c>
      <c r="C139" s="16">
        <v>30</v>
      </c>
      <c r="D139" s="25">
        <f>3.4/45*C139</f>
        <v>2.2666666666666666</v>
      </c>
      <c r="E139" s="25">
        <f>0.4/45*C139</f>
        <v>0.26666666666666666</v>
      </c>
      <c r="F139" s="25">
        <f>22.1/45*C139</f>
        <v>14.733333333333334</v>
      </c>
      <c r="G139" s="25">
        <f>105.8/45*C139</f>
        <v>70.533333333333331</v>
      </c>
    </row>
    <row r="140" spans="1:79" x14ac:dyDescent="0.25">
      <c r="A140" s="4"/>
      <c r="B140" s="4"/>
      <c r="C140" s="59"/>
      <c r="D140" s="60"/>
      <c r="E140" s="60"/>
      <c r="F140" s="60"/>
      <c r="G140" s="60"/>
    </row>
    <row r="141" spans="1:79" x14ac:dyDescent="0.25">
      <c r="A141" s="4"/>
      <c r="B141" s="28" t="s">
        <v>53</v>
      </c>
      <c r="C141" s="28">
        <f t="shared" ref="C141:G141" si="17">SUM(C133:C140)</f>
        <v>780</v>
      </c>
      <c r="D141" s="54">
        <f t="shared" si="17"/>
        <v>23.398666666666664</v>
      </c>
      <c r="E141" s="54">
        <f t="shared" si="17"/>
        <v>23.718666666666667</v>
      </c>
      <c r="F141" s="55">
        <f t="shared" si="17"/>
        <v>116.81333333333332</v>
      </c>
      <c r="G141" s="55">
        <f t="shared" si="17"/>
        <v>817.64833333333331</v>
      </c>
    </row>
    <row r="142" spans="1:79" x14ac:dyDescent="0.25">
      <c r="A142" s="4"/>
      <c r="B142" s="298" t="s">
        <v>30</v>
      </c>
      <c r="C142" s="299"/>
      <c r="D142" s="299"/>
      <c r="E142" s="299"/>
      <c r="F142" s="299"/>
      <c r="G142" s="299"/>
    </row>
    <row r="143" spans="1:79" x14ac:dyDescent="0.25">
      <c r="A143" s="4" t="s">
        <v>124</v>
      </c>
      <c r="B143" s="32" t="s">
        <v>55</v>
      </c>
      <c r="C143" s="4">
        <v>70</v>
      </c>
      <c r="D143" s="56">
        <f>4.5/60*C143</f>
        <v>5.25</v>
      </c>
      <c r="E143" s="56">
        <v>8.1</v>
      </c>
      <c r="F143" s="56">
        <f>4.6/60*C143</f>
        <v>5.3666666666666663</v>
      </c>
      <c r="G143" s="56">
        <f>108/60*C143</f>
        <v>126</v>
      </c>
    </row>
    <row r="144" spans="1:79" x14ac:dyDescent="0.25">
      <c r="A144" s="4" t="s">
        <v>124</v>
      </c>
      <c r="B144" s="32" t="s">
        <v>100</v>
      </c>
      <c r="C144" s="4">
        <v>250</v>
      </c>
      <c r="D144" s="56">
        <v>2.78</v>
      </c>
      <c r="E144" s="56">
        <f>0.4/200*C144</f>
        <v>0.5</v>
      </c>
      <c r="F144" s="56">
        <f>23.2/200*C144</f>
        <v>28.999999999999996</v>
      </c>
      <c r="G144" s="56">
        <f>100/200*C144</f>
        <v>125</v>
      </c>
    </row>
    <row r="145" spans="1:79" x14ac:dyDescent="0.25">
      <c r="A145" s="4"/>
      <c r="B145" s="32"/>
      <c r="C145" s="4"/>
      <c r="D145" s="56"/>
      <c r="E145" s="56"/>
      <c r="F145" s="56"/>
      <c r="G145" s="56"/>
    </row>
    <row r="146" spans="1:79" x14ac:dyDescent="0.25">
      <c r="A146" s="4"/>
      <c r="B146" s="28" t="s">
        <v>32</v>
      </c>
      <c r="C146" s="28">
        <f t="shared" ref="C146:G146" si="18">SUM(C143:C144)</f>
        <v>320</v>
      </c>
      <c r="D146" s="28">
        <f t="shared" si="18"/>
        <v>8.0299999999999994</v>
      </c>
      <c r="E146" s="28">
        <f t="shared" si="18"/>
        <v>8.6</v>
      </c>
      <c r="F146" s="28">
        <f t="shared" si="18"/>
        <v>34.36666666666666</v>
      </c>
      <c r="G146" s="28">
        <f t="shared" si="18"/>
        <v>251</v>
      </c>
    </row>
    <row r="147" spans="1:79" x14ac:dyDescent="0.25">
      <c r="A147" s="4"/>
      <c r="B147" s="28" t="s">
        <v>33</v>
      </c>
      <c r="C147" s="28">
        <f t="shared" ref="C147:G147" si="19">C146+C141+C131</f>
        <v>1680</v>
      </c>
      <c r="D147" s="54">
        <f t="shared" si="19"/>
        <v>50.12866666666666</v>
      </c>
      <c r="E147" s="28">
        <f t="shared" si="19"/>
        <v>48.218666666666664</v>
      </c>
      <c r="F147" s="28">
        <f t="shared" si="19"/>
        <v>226.77999999999997</v>
      </c>
      <c r="G147" s="28">
        <f t="shared" si="19"/>
        <v>1539.6483333333333</v>
      </c>
    </row>
    <row r="148" spans="1:79" x14ac:dyDescent="0.25">
      <c r="A148" s="304" t="s">
        <v>56</v>
      </c>
      <c r="B148" s="294"/>
      <c r="C148" s="294"/>
      <c r="D148" s="294"/>
      <c r="E148" s="294"/>
      <c r="F148" s="294"/>
      <c r="G148" s="294"/>
    </row>
    <row r="149" spans="1:79" x14ac:dyDescent="0.25">
      <c r="A149" s="293" t="s">
        <v>57</v>
      </c>
      <c r="B149" s="294"/>
      <c r="C149" s="294"/>
      <c r="D149" s="294"/>
      <c r="E149" s="294"/>
      <c r="F149" s="294"/>
      <c r="G149" s="294"/>
    </row>
    <row r="150" spans="1:79" x14ac:dyDescent="0.25">
      <c r="A150" s="285" t="s">
        <v>18</v>
      </c>
      <c r="B150" s="286"/>
      <c r="C150" s="286"/>
      <c r="D150" s="286"/>
      <c r="E150" s="286"/>
      <c r="F150" s="286"/>
      <c r="G150" s="286"/>
    </row>
    <row r="151" spans="1:79" x14ac:dyDescent="0.25">
      <c r="A151" s="295" t="s">
        <v>19</v>
      </c>
      <c r="B151" s="296"/>
      <c r="C151" s="296"/>
      <c r="D151" s="296"/>
      <c r="E151" s="296"/>
      <c r="F151" s="296"/>
      <c r="G151" s="296"/>
    </row>
    <row r="152" spans="1:79" s="123" customFormat="1" x14ac:dyDescent="0.25">
      <c r="A152" s="4" t="s">
        <v>158</v>
      </c>
      <c r="B152" s="36" t="s">
        <v>72</v>
      </c>
      <c r="C152" s="16">
        <v>250</v>
      </c>
      <c r="D152" s="11">
        <f>5/200*C152</f>
        <v>6.25</v>
      </c>
      <c r="E152" s="11">
        <f>5.8/200*C152</f>
        <v>7.2499999999999991</v>
      </c>
      <c r="F152" s="11">
        <v>24.1</v>
      </c>
      <c r="G152" s="11">
        <f>168.9/200*C152</f>
        <v>211.125</v>
      </c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</row>
    <row r="153" spans="1:79" x14ac:dyDescent="0.25">
      <c r="A153" s="8" t="s">
        <v>134</v>
      </c>
      <c r="B153" s="32" t="s">
        <v>44</v>
      </c>
      <c r="C153" s="9">
        <v>200</v>
      </c>
      <c r="D153" s="10">
        <f>4.6/200*C153</f>
        <v>4.5999999999999996</v>
      </c>
      <c r="E153" s="10">
        <f>3.6/200*C153</f>
        <v>3.6000000000000005</v>
      </c>
      <c r="F153" s="10">
        <f>12.6/200*C153</f>
        <v>12.6</v>
      </c>
      <c r="G153" s="10">
        <f>100.4/200*C153</f>
        <v>100.4</v>
      </c>
    </row>
    <row r="154" spans="1:79" x14ac:dyDescent="0.25">
      <c r="A154" s="14" t="s">
        <v>135</v>
      </c>
      <c r="B154" s="35" t="s">
        <v>22</v>
      </c>
      <c r="C154" s="6">
        <v>15</v>
      </c>
      <c r="D154" s="7">
        <v>3.4</v>
      </c>
      <c r="E154" s="7">
        <f>4.4/15*C154</f>
        <v>4.4000000000000004</v>
      </c>
      <c r="F154" s="7">
        <v>0</v>
      </c>
      <c r="G154" s="7">
        <f>53.7/15*C154</f>
        <v>53.7</v>
      </c>
    </row>
    <row r="155" spans="1:79" x14ac:dyDescent="0.25">
      <c r="A155" s="14" t="s">
        <v>124</v>
      </c>
      <c r="B155" s="35" t="s">
        <v>23</v>
      </c>
      <c r="C155" s="6">
        <v>25</v>
      </c>
      <c r="D155" s="10">
        <f>1.5/25*C155</f>
        <v>1.5</v>
      </c>
      <c r="E155" s="10">
        <f>0.5/25*C155</f>
        <v>0.5</v>
      </c>
      <c r="F155" s="10">
        <f>10.2/25*C155</f>
        <v>10.199999999999999</v>
      </c>
      <c r="G155" s="10">
        <f>52/25*C155</f>
        <v>52</v>
      </c>
    </row>
    <row r="156" spans="1:79" x14ac:dyDescent="0.25">
      <c r="A156" s="14" t="s">
        <v>124</v>
      </c>
      <c r="B156" s="32" t="s">
        <v>24</v>
      </c>
      <c r="C156" s="16">
        <v>45</v>
      </c>
      <c r="D156" s="25">
        <f>3.4/45*C156</f>
        <v>3.4</v>
      </c>
      <c r="E156" s="25">
        <f>0.4/45*C156</f>
        <v>0.4</v>
      </c>
      <c r="F156" s="25">
        <f>22.1/45*C156</f>
        <v>22.1</v>
      </c>
      <c r="G156" s="25">
        <f>105.8/45*C156</f>
        <v>105.8</v>
      </c>
    </row>
    <row r="157" spans="1:79" x14ac:dyDescent="0.25">
      <c r="A157" s="14"/>
      <c r="B157" s="32"/>
      <c r="C157" s="16"/>
      <c r="D157" s="11"/>
      <c r="E157" s="11"/>
      <c r="F157" s="11"/>
      <c r="G157" s="11"/>
    </row>
    <row r="158" spans="1:79" x14ac:dyDescent="0.25">
      <c r="A158" s="4"/>
      <c r="B158" s="28" t="s">
        <v>37</v>
      </c>
      <c r="C158" s="28">
        <f t="shared" ref="C158:G158" si="20">SUM(C152:C156)</f>
        <v>535</v>
      </c>
      <c r="D158" s="54">
        <f t="shared" si="20"/>
        <v>19.149999999999999</v>
      </c>
      <c r="E158" s="54">
        <f t="shared" si="20"/>
        <v>16.149999999999999</v>
      </c>
      <c r="F158" s="54">
        <f t="shared" si="20"/>
        <v>69</v>
      </c>
      <c r="G158" s="55">
        <f t="shared" si="20"/>
        <v>523.02499999999998</v>
      </c>
    </row>
    <row r="159" spans="1:79" x14ac:dyDescent="0.25">
      <c r="A159" s="289" t="s">
        <v>26</v>
      </c>
      <c r="B159" s="290"/>
      <c r="C159" s="290"/>
      <c r="D159" s="290"/>
      <c r="E159" s="290"/>
      <c r="F159" s="290"/>
      <c r="G159" s="290"/>
    </row>
    <row r="160" spans="1:79" x14ac:dyDescent="0.25">
      <c r="A160" s="146" t="s">
        <v>126</v>
      </c>
      <c r="B160" s="5" t="s">
        <v>39</v>
      </c>
      <c r="C160" s="24">
        <v>60</v>
      </c>
      <c r="D160" s="25">
        <f>0.5/60*C160</f>
        <v>0.5</v>
      </c>
      <c r="E160" s="25">
        <f>0.1/60*C160</f>
        <v>0.1</v>
      </c>
      <c r="F160" s="25">
        <f>1.5/60*C160</f>
        <v>1.5</v>
      </c>
      <c r="G160" s="86">
        <f>8.5/60*C160</f>
        <v>8.5</v>
      </c>
    </row>
    <row r="161" spans="1:79" s="123" customFormat="1" x14ac:dyDescent="0.25">
      <c r="A161" s="23" t="s">
        <v>159</v>
      </c>
      <c r="B161" s="5" t="s">
        <v>87</v>
      </c>
      <c r="C161" s="26">
        <v>180</v>
      </c>
      <c r="D161" s="61">
        <v>7.71</v>
      </c>
      <c r="E161" s="61">
        <f>13/200*C162</f>
        <v>9.75</v>
      </c>
      <c r="F161" s="61">
        <f>73/200*C161</f>
        <v>65.7</v>
      </c>
      <c r="G161" s="61">
        <v>232.1</v>
      </c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</row>
    <row r="162" spans="1:79" x14ac:dyDescent="0.25">
      <c r="A162" s="4" t="s">
        <v>130</v>
      </c>
      <c r="B162" s="35" t="s">
        <v>68</v>
      </c>
      <c r="C162" s="6">
        <v>150</v>
      </c>
      <c r="D162" s="7">
        <v>3.4</v>
      </c>
      <c r="E162" s="7">
        <v>1.9</v>
      </c>
      <c r="F162" s="7">
        <v>12.8</v>
      </c>
      <c r="G162" s="7">
        <v>96.8</v>
      </c>
    </row>
    <row r="163" spans="1:79" s="81" customFormat="1" x14ac:dyDescent="0.25">
      <c r="A163" s="14" t="s">
        <v>146</v>
      </c>
      <c r="B163" s="35" t="s">
        <v>59</v>
      </c>
      <c r="C163" s="6">
        <v>75</v>
      </c>
      <c r="D163" s="7">
        <v>8.5</v>
      </c>
      <c r="E163" s="7">
        <v>12</v>
      </c>
      <c r="F163" s="7">
        <v>0.36</v>
      </c>
      <c r="G163" s="7">
        <f>221.3/80*C163</f>
        <v>207.46875000000003</v>
      </c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</row>
    <row r="164" spans="1:79" x14ac:dyDescent="0.25">
      <c r="A164" s="240" t="s">
        <v>131</v>
      </c>
      <c r="B164" s="5" t="s">
        <v>41</v>
      </c>
      <c r="C164" s="41">
        <v>20</v>
      </c>
      <c r="D164" s="42">
        <f>0.54/30*C164</f>
        <v>0.36000000000000004</v>
      </c>
      <c r="E164" s="42">
        <f>3.67/30*C164</f>
        <v>2.4466666666666668</v>
      </c>
      <c r="F164" s="42">
        <f>5.24/30*C164</f>
        <v>3.4933333333333332</v>
      </c>
      <c r="G164" s="25">
        <f>56.16/30*C164</f>
        <v>37.44</v>
      </c>
    </row>
    <row r="165" spans="1:79" x14ac:dyDescent="0.25">
      <c r="A165" s="8" t="s">
        <v>140</v>
      </c>
      <c r="B165" s="32" t="s">
        <v>20</v>
      </c>
      <c r="C165" s="9">
        <v>200</v>
      </c>
      <c r="D165" s="10">
        <v>0.2</v>
      </c>
      <c r="E165" s="10">
        <v>0</v>
      </c>
      <c r="F165" s="10">
        <v>6.5</v>
      </c>
      <c r="G165" s="10">
        <v>26.8</v>
      </c>
    </row>
    <row r="166" spans="1:79" x14ac:dyDescent="0.25">
      <c r="A166" s="23" t="s">
        <v>124</v>
      </c>
      <c r="B166" s="35" t="s">
        <v>23</v>
      </c>
      <c r="C166" s="6">
        <v>50</v>
      </c>
      <c r="D166" s="10">
        <f>1.5/25*C166</f>
        <v>3</v>
      </c>
      <c r="E166" s="10">
        <f>0.5/25*C166</f>
        <v>1</v>
      </c>
      <c r="F166" s="10">
        <v>9.4</v>
      </c>
      <c r="G166" s="10">
        <f>52/25*C166</f>
        <v>104</v>
      </c>
    </row>
    <row r="167" spans="1:79" x14ac:dyDescent="0.25">
      <c r="A167" s="23" t="s">
        <v>124</v>
      </c>
      <c r="B167" s="32" t="s">
        <v>24</v>
      </c>
      <c r="C167" s="16">
        <v>30</v>
      </c>
      <c r="D167" s="25">
        <f>3.4/45*C167</f>
        <v>2.2666666666666666</v>
      </c>
      <c r="E167" s="25">
        <f>0.4/45*C167</f>
        <v>0.26666666666666666</v>
      </c>
      <c r="F167" s="25">
        <f>22.1/45*C167</f>
        <v>14.733333333333334</v>
      </c>
      <c r="G167" s="25">
        <f>105.8/45*C167</f>
        <v>70.533333333333331</v>
      </c>
    </row>
    <row r="168" spans="1:79" x14ac:dyDescent="0.25">
      <c r="A168" s="23"/>
      <c r="B168" s="23"/>
      <c r="C168" s="26"/>
      <c r="D168" s="21"/>
      <c r="E168" s="21"/>
      <c r="F168" s="21"/>
      <c r="G168" s="21"/>
    </row>
    <row r="169" spans="1:79" x14ac:dyDescent="0.25">
      <c r="A169" s="65"/>
      <c r="B169" s="26" t="s">
        <v>29</v>
      </c>
      <c r="C169" s="26">
        <f t="shared" ref="C169:G169" si="21">SUM(C160:C168)</f>
        <v>765</v>
      </c>
      <c r="D169" s="43">
        <f t="shared" si="21"/>
        <v>25.936666666666664</v>
      </c>
      <c r="E169" s="43">
        <f t="shared" si="21"/>
        <v>27.463333333333331</v>
      </c>
      <c r="F169" s="44">
        <f t="shared" si="21"/>
        <v>114.48666666666668</v>
      </c>
      <c r="G169" s="202">
        <f t="shared" si="21"/>
        <v>783.64208333333318</v>
      </c>
    </row>
    <row r="170" spans="1:79" ht="15.75" x14ac:dyDescent="0.25">
      <c r="A170" s="291" t="s">
        <v>30</v>
      </c>
      <c r="B170" s="292"/>
      <c r="C170" s="292"/>
      <c r="D170" s="292"/>
      <c r="E170" s="292"/>
      <c r="F170" s="292"/>
      <c r="G170" s="292"/>
    </row>
    <row r="171" spans="1:79" x14ac:dyDescent="0.25">
      <c r="A171" s="23">
        <v>256</v>
      </c>
      <c r="B171" s="5" t="s">
        <v>197</v>
      </c>
      <c r="C171" s="26">
        <v>100</v>
      </c>
      <c r="D171" s="21">
        <v>5.17</v>
      </c>
      <c r="E171" s="21">
        <f>2.4/60*C171</f>
        <v>4</v>
      </c>
      <c r="F171" s="21">
        <v>30.7</v>
      </c>
      <c r="G171" s="21">
        <f>143.9/60*C171</f>
        <v>239.83333333333334</v>
      </c>
    </row>
    <row r="172" spans="1:79" x14ac:dyDescent="0.25">
      <c r="A172" s="8" t="s">
        <v>150</v>
      </c>
      <c r="B172" s="32" t="s">
        <v>36</v>
      </c>
      <c r="C172" s="9">
        <v>200</v>
      </c>
      <c r="D172" s="10">
        <f>3.8/200*C172</f>
        <v>3.8</v>
      </c>
      <c r="E172" s="10">
        <f>2.9/200*C172</f>
        <v>2.9</v>
      </c>
      <c r="F172" s="10">
        <f>11.3/200*C172</f>
        <v>11.3</v>
      </c>
      <c r="G172" s="10">
        <f>86/200*C172</f>
        <v>86</v>
      </c>
    </row>
    <row r="173" spans="1:79" x14ac:dyDescent="0.25">
      <c r="A173" s="65"/>
      <c r="B173" s="26"/>
      <c r="C173" s="26"/>
      <c r="D173" s="21"/>
      <c r="E173" s="21"/>
      <c r="F173" s="21"/>
      <c r="G173" s="21"/>
    </row>
    <row r="174" spans="1:79" x14ac:dyDescent="0.25">
      <c r="A174" s="65"/>
      <c r="B174" s="26" t="s">
        <v>32</v>
      </c>
      <c r="C174" s="26">
        <f t="shared" ref="C174:G174" si="22">SUM(C171:C173)</f>
        <v>300</v>
      </c>
      <c r="D174" s="43">
        <f t="shared" si="22"/>
        <v>8.9699999999999989</v>
      </c>
      <c r="E174" s="43">
        <f t="shared" si="22"/>
        <v>6.9</v>
      </c>
      <c r="F174" s="43">
        <f t="shared" si="22"/>
        <v>42</v>
      </c>
      <c r="G174" s="44">
        <f t="shared" si="22"/>
        <v>325.83333333333337</v>
      </c>
    </row>
    <row r="175" spans="1:79" x14ac:dyDescent="0.25">
      <c r="A175" s="4"/>
      <c r="B175" s="28" t="s">
        <v>33</v>
      </c>
      <c r="C175" s="28">
        <f>C174+C169+C158</f>
        <v>1600</v>
      </c>
      <c r="D175" s="54">
        <f t="shared" ref="D175:G175" si="23">D174+D169+D158</f>
        <v>54.056666666666665</v>
      </c>
      <c r="E175" s="28">
        <f t="shared" si="23"/>
        <v>50.513333333333328</v>
      </c>
      <c r="F175" s="28">
        <f t="shared" si="23"/>
        <v>225.48666666666668</v>
      </c>
      <c r="G175" s="28">
        <f t="shared" si="23"/>
        <v>1632.5004166666668</v>
      </c>
    </row>
    <row r="176" spans="1:79" x14ac:dyDescent="0.25">
      <c r="A176" s="293" t="s">
        <v>56</v>
      </c>
      <c r="B176" s="294"/>
      <c r="C176" s="294"/>
      <c r="D176" s="294"/>
      <c r="E176" s="294"/>
      <c r="F176" s="294"/>
      <c r="G176" s="294"/>
    </row>
    <row r="177" spans="1:7" x14ac:dyDescent="0.25">
      <c r="A177" s="293" t="s">
        <v>35</v>
      </c>
      <c r="B177" s="294"/>
      <c r="C177" s="294"/>
      <c r="D177" s="294"/>
      <c r="E177" s="294"/>
      <c r="F177" s="294"/>
      <c r="G177" s="294"/>
    </row>
    <row r="178" spans="1:7" x14ac:dyDescent="0.25">
      <c r="A178" s="285" t="s">
        <v>18</v>
      </c>
      <c r="B178" s="286"/>
      <c r="C178" s="286"/>
      <c r="D178" s="286"/>
      <c r="E178" s="286"/>
      <c r="F178" s="286"/>
      <c r="G178" s="286"/>
    </row>
    <row r="179" spans="1:7" x14ac:dyDescent="0.25">
      <c r="A179" s="287" t="s">
        <v>19</v>
      </c>
      <c r="B179" s="288"/>
      <c r="C179" s="288"/>
      <c r="D179" s="288"/>
      <c r="E179" s="288"/>
      <c r="F179" s="288"/>
      <c r="G179" s="288"/>
    </row>
    <row r="180" spans="1:7" x14ac:dyDescent="0.25">
      <c r="A180" s="23">
        <v>98</v>
      </c>
      <c r="B180" s="5" t="s">
        <v>89</v>
      </c>
      <c r="C180" s="26">
        <v>200</v>
      </c>
      <c r="D180" s="21">
        <f>3.6/200*C180</f>
        <v>3.6000000000000005</v>
      </c>
      <c r="E180" s="21">
        <f>0.7/200*C180</f>
        <v>0.7</v>
      </c>
      <c r="F180" s="21">
        <f>21.8/200*C180</f>
        <v>21.8</v>
      </c>
      <c r="G180" s="21">
        <f>106/200*C180</f>
        <v>106</v>
      </c>
    </row>
    <row r="181" spans="1:7" x14ac:dyDescent="0.25">
      <c r="A181" s="8" t="s">
        <v>140</v>
      </c>
      <c r="B181" s="32" t="s">
        <v>20</v>
      </c>
      <c r="C181" s="9">
        <v>200</v>
      </c>
      <c r="D181" s="10">
        <v>0.2</v>
      </c>
      <c r="E181" s="10">
        <v>0</v>
      </c>
      <c r="F181" s="10">
        <v>6.5</v>
      </c>
      <c r="G181" s="10">
        <v>26.8</v>
      </c>
    </row>
    <row r="182" spans="1:7" x14ac:dyDescent="0.25">
      <c r="A182" s="4" t="s">
        <v>191</v>
      </c>
      <c r="B182" s="35" t="s">
        <v>21</v>
      </c>
      <c r="C182" s="6">
        <v>10</v>
      </c>
      <c r="D182" s="61">
        <f>10/10*C182</f>
        <v>10</v>
      </c>
      <c r="E182" s="61">
        <f>0.1/10*C182</f>
        <v>0.1</v>
      </c>
      <c r="F182" s="61">
        <f>7.2/10*C182</f>
        <v>7.1999999999999993</v>
      </c>
      <c r="G182" s="61">
        <v>10</v>
      </c>
    </row>
    <row r="183" spans="1:7" x14ac:dyDescent="0.25">
      <c r="A183" s="14" t="s">
        <v>124</v>
      </c>
      <c r="B183" s="35" t="s">
        <v>23</v>
      </c>
      <c r="C183" s="6">
        <v>30</v>
      </c>
      <c r="D183" s="10">
        <f>1.5/25*C183</f>
        <v>1.7999999999999998</v>
      </c>
      <c r="E183" s="10">
        <f>0.5/25*C183</f>
        <v>0.6</v>
      </c>
      <c r="F183" s="10">
        <f>10.2/25*C183</f>
        <v>12.239999999999998</v>
      </c>
      <c r="G183" s="10">
        <f>52/25*C183</f>
        <v>62.400000000000006</v>
      </c>
    </row>
    <row r="184" spans="1:7" x14ac:dyDescent="0.25">
      <c r="A184" s="15" t="s">
        <v>124</v>
      </c>
      <c r="B184" s="32" t="s">
        <v>24</v>
      </c>
      <c r="C184" s="16">
        <v>45</v>
      </c>
      <c r="D184" s="25">
        <v>1.3</v>
      </c>
      <c r="E184" s="25">
        <f>0.4/45*C184</f>
        <v>0.4</v>
      </c>
      <c r="F184" s="25">
        <f>22.1/45*C184</f>
        <v>22.1</v>
      </c>
      <c r="G184" s="25">
        <f>105.8/45*C184</f>
        <v>105.8</v>
      </c>
    </row>
    <row r="185" spans="1:7" ht="26.25" x14ac:dyDescent="0.25">
      <c r="A185" s="15" t="s">
        <v>124</v>
      </c>
      <c r="B185" s="32" t="s">
        <v>105</v>
      </c>
      <c r="C185" s="90">
        <v>100</v>
      </c>
      <c r="D185" s="61">
        <v>1.7</v>
      </c>
      <c r="E185" s="61">
        <v>15.5</v>
      </c>
      <c r="F185" s="61">
        <f>21.6/200*C185</f>
        <v>10.8</v>
      </c>
      <c r="G185" s="133">
        <v>197.2</v>
      </c>
    </row>
    <row r="186" spans="1:7" x14ac:dyDescent="0.25">
      <c r="A186" s="4"/>
      <c r="B186" s="15"/>
      <c r="C186" s="16"/>
      <c r="D186" s="56"/>
      <c r="E186" s="56"/>
      <c r="F186" s="56"/>
      <c r="G186" s="56"/>
    </row>
    <row r="187" spans="1:7" x14ac:dyDescent="0.25">
      <c r="A187" s="4"/>
      <c r="B187" s="28" t="s">
        <v>37</v>
      </c>
      <c r="C187" s="28">
        <f t="shared" ref="C187:G187" si="24">SUM(C180:C186)</f>
        <v>585</v>
      </c>
      <c r="D187" s="54">
        <f t="shared" si="24"/>
        <v>18.600000000000001</v>
      </c>
      <c r="E187" s="54">
        <f t="shared" si="24"/>
        <v>17.3</v>
      </c>
      <c r="F187" s="54">
        <f t="shared" si="24"/>
        <v>80.64</v>
      </c>
      <c r="G187" s="55">
        <f t="shared" si="24"/>
        <v>508.2</v>
      </c>
    </row>
    <row r="188" spans="1:7" x14ac:dyDescent="0.25">
      <c r="A188" s="289" t="s">
        <v>26</v>
      </c>
      <c r="B188" s="290"/>
      <c r="C188" s="290"/>
      <c r="D188" s="290"/>
      <c r="E188" s="290"/>
      <c r="F188" s="290"/>
      <c r="G188" s="290"/>
    </row>
    <row r="189" spans="1:7" x14ac:dyDescent="0.25">
      <c r="A189" s="8" t="s">
        <v>160</v>
      </c>
      <c r="B189" s="32" t="s">
        <v>74</v>
      </c>
      <c r="C189" s="9">
        <v>70</v>
      </c>
      <c r="D189" s="10">
        <f>0.6/60*C189</f>
        <v>0.70000000000000007</v>
      </c>
      <c r="E189" s="10">
        <f>5.3/60*C189</f>
        <v>6.1833333333333336</v>
      </c>
      <c r="F189" s="10">
        <f>4.1/60*C189</f>
        <v>4.7833333333333332</v>
      </c>
      <c r="G189" s="10">
        <f>67.1/60*C189</f>
        <v>78.283333333333317</v>
      </c>
    </row>
    <row r="190" spans="1:7" x14ac:dyDescent="0.25">
      <c r="A190" s="49" t="s">
        <v>161</v>
      </c>
      <c r="B190" s="5" t="s">
        <v>162</v>
      </c>
      <c r="C190" s="50">
        <v>200</v>
      </c>
      <c r="D190" s="21">
        <f>3.8/200*C190</f>
        <v>3.8</v>
      </c>
      <c r="E190" s="21">
        <f>1.8/200*C190</f>
        <v>1.8000000000000003</v>
      </c>
      <c r="F190" s="21">
        <f>9.2/200*C190</f>
        <v>9.1999999999999993</v>
      </c>
      <c r="G190" s="21">
        <f>66.4/200*C190</f>
        <v>66.400000000000006</v>
      </c>
    </row>
    <row r="191" spans="1:7" ht="14.25" customHeight="1" x14ac:dyDescent="0.25">
      <c r="A191" s="22" t="s">
        <v>163</v>
      </c>
      <c r="B191" s="32" t="s">
        <v>65</v>
      </c>
      <c r="C191" s="16">
        <v>150</v>
      </c>
      <c r="D191" s="11">
        <f>15.3/200*C191</f>
        <v>11.475</v>
      </c>
      <c r="E191" s="11">
        <f>14.7/200*C191</f>
        <v>11.024999999999999</v>
      </c>
      <c r="F191" s="11">
        <f>38.6/200*C191</f>
        <v>28.95</v>
      </c>
      <c r="G191" s="11">
        <f>348.3/200*C191</f>
        <v>261.22500000000002</v>
      </c>
    </row>
    <row r="192" spans="1:7" x14ac:dyDescent="0.25">
      <c r="A192" s="240" t="s">
        <v>131</v>
      </c>
      <c r="B192" s="5" t="s">
        <v>41</v>
      </c>
      <c r="C192" s="41">
        <v>50</v>
      </c>
      <c r="D192" s="42">
        <f>0.54/30*C192</f>
        <v>0.90000000000000013</v>
      </c>
      <c r="E192" s="42">
        <f>3.67/30*C192</f>
        <v>6.1166666666666671</v>
      </c>
      <c r="F192" s="42">
        <f>5.24/30*C192</f>
        <v>8.7333333333333325</v>
      </c>
      <c r="G192" s="42">
        <f>56.16/30*C192</f>
        <v>93.6</v>
      </c>
    </row>
    <row r="193" spans="1:79" s="81" customFormat="1" x14ac:dyDescent="0.25">
      <c r="A193" s="23" t="s">
        <v>147</v>
      </c>
      <c r="B193" s="5" t="s">
        <v>28</v>
      </c>
      <c r="C193" s="24">
        <v>200</v>
      </c>
      <c r="D193" s="25">
        <f>0.5/200*C193</f>
        <v>0.5</v>
      </c>
      <c r="E193" s="25">
        <v>0</v>
      </c>
      <c r="F193" s="25">
        <f>19.8/200*C193</f>
        <v>19.8</v>
      </c>
      <c r="G193" s="86">
        <f>81/200*C193</f>
        <v>81</v>
      </c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  <c r="BZ193" s="188"/>
      <c r="CA193" s="188"/>
    </row>
    <row r="194" spans="1:79" x14ac:dyDescent="0.25">
      <c r="A194" s="8" t="s">
        <v>124</v>
      </c>
      <c r="B194" s="35" t="s">
        <v>23</v>
      </c>
      <c r="C194" s="6">
        <v>60</v>
      </c>
      <c r="D194" s="10">
        <f>1.5/25*C194</f>
        <v>3.5999999999999996</v>
      </c>
      <c r="E194" s="10">
        <f>0.5/25*C194</f>
        <v>1.2</v>
      </c>
      <c r="F194" s="10">
        <f>10.2/25*C194</f>
        <v>24.479999999999997</v>
      </c>
      <c r="G194" s="10">
        <f>52/25*C194</f>
        <v>124.80000000000001</v>
      </c>
    </row>
    <row r="195" spans="1:79" x14ac:dyDescent="0.25">
      <c r="A195" s="4" t="s">
        <v>124</v>
      </c>
      <c r="B195" s="32" t="s">
        <v>24</v>
      </c>
      <c r="C195" s="16">
        <v>30</v>
      </c>
      <c r="D195" s="25">
        <f>3.4/45*C195</f>
        <v>2.2666666666666666</v>
      </c>
      <c r="E195" s="25">
        <f>0.4/45*C195</f>
        <v>0.26666666666666666</v>
      </c>
      <c r="F195" s="25">
        <f>22.1/45*C195</f>
        <v>14.733333333333334</v>
      </c>
      <c r="G195" s="25">
        <f>105.8/45*C195</f>
        <v>70.533333333333331</v>
      </c>
    </row>
    <row r="196" spans="1:79" x14ac:dyDescent="0.25">
      <c r="A196" s="4"/>
      <c r="B196" s="28"/>
      <c r="C196" s="28"/>
      <c r="D196" s="54"/>
      <c r="E196" s="54"/>
      <c r="F196" s="55"/>
      <c r="G196" s="55"/>
    </row>
    <row r="197" spans="1:79" x14ac:dyDescent="0.25">
      <c r="A197" s="4"/>
      <c r="B197" s="28" t="s">
        <v>29</v>
      </c>
      <c r="C197" s="28">
        <f t="shared" ref="C197:G197" si="25">SUM(C189:C196)</f>
        <v>760</v>
      </c>
      <c r="D197" s="54">
        <f t="shared" si="25"/>
        <v>23.241666666666667</v>
      </c>
      <c r="E197" s="54">
        <f t="shared" si="25"/>
        <v>26.591666666666665</v>
      </c>
      <c r="F197" s="55">
        <f t="shared" si="25"/>
        <v>110.67999999999999</v>
      </c>
      <c r="G197" s="55">
        <f t="shared" si="25"/>
        <v>775.8416666666667</v>
      </c>
    </row>
    <row r="198" spans="1:79" ht="15.75" x14ac:dyDescent="0.25">
      <c r="A198" s="291" t="s">
        <v>30</v>
      </c>
      <c r="B198" s="292"/>
      <c r="C198" s="292"/>
      <c r="D198" s="292"/>
      <c r="E198" s="292"/>
      <c r="F198" s="292"/>
      <c r="G198" s="292"/>
    </row>
    <row r="199" spans="1:79" s="81" customFormat="1" x14ac:dyDescent="0.25">
      <c r="A199" s="4">
        <v>59</v>
      </c>
      <c r="B199" s="32" t="s">
        <v>31</v>
      </c>
      <c r="C199" s="98">
        <v>100</v>
      </c>
      <c r="D199" s="197">
        <f>4.8/60*C199</f>
        <v>8</v>
      </c>
      <c r="E199" s="197">
        <v>8.33</v>
      </c>
      <c r="F199" s="197">
        <v>33.56</v>
      </c>
      <c r="G199" s="197">
        <f>184/60*C199</f>
        <v>306.66666666666669</v>
      </c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  <c r="BZ199" s="188"/>
      <c r="CA199" s="188"/>
    </row>
    <row r="200" spans="1:79" s="81" customFormat="1" x14ac:dyDescent="0.25">
      <c r="A200" s="8" t="s">
        <v>140</v>
      </c>
      <c r="B200" s="32" t="s">
        <v>20</v>
      </c>
      <c r="C200" s="9">
        <v>200</v>
      </c>
      <c r="D200" s="10">
        <v>0.2</v>
      </c>
      <c r="E200" s="10">
        <v>0</v>
      </c>
      <c r="F200" s="10">
        <v>6.5</v>
      </c>
      <c r="G200" s="10">
        <v>26.8</v>
      </c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  <c r="BY200" s="188"/>
      <c r="BZ200" s="188"/>
      <c r="CA200" s="188"/>
    </row>
    <row r="201" spans="1:79" x14ac:dyDescent="0.25">
      <c r="A201" s="4"/>
      <c r="B201" s="28"/>
      <c r="C201" s="28"/>
      <c r="D201" s="54"/>
      <c r="E201" s="54"/>
      <c r="F201" s="54"/>
      <c r="G201" s="54"/>
    </row>
    <row r="202" spans="1:79" x14ac:dyDescent="0.25">
      <c r="A202" s="4"/>
      <c r="B202" s="28" t="s">
        <v>32</v>
      </c>
      <c r="C202" s="28">
        <f t="shared" ref="C202:G202" si="26">SUM(C199:C201)</f>
        <v>300</v>
      </c>
      <c r="D202" s="54">
        <f t="shared" si="26"/>
        <v>8.1999999999999993</v>
      </c>
      <c r="E202" s="54">
        <f t="shared" si="26"/>
        <v>8.33</v>
      </c>
      <c r="F202" s="54">
        <f t="shared" si="26"/>
        <v>40.06</v>
      </c>
      <c r="G202" s="138">
        <f t="shared" si="26"/>
        <v>333.4666666666667</v>
      </c>
    </row>
    <row r="203" spans="1:79" x14ac:dyDescent="0.25">
      <c r="A203" s="4"/>
      <c r="B203" s="28" t="s">
        <v>33</v>
      </c>
      <c r="C203" s="28">
        <f t="shared" ref="C203:G203" si="27">C202+C197+C187</f>
        <v>1645</v>
      </c>
      <c r="D203" s="54">
        <f t="shared" si="27"/>
        <v>50.041666666666671</v>
      </c>
      <c r="E203" s="28">
        <f t="shared" si="27"/>
        <v>52.221666666666664</v>
      </c>
      <c r="F203" s="28">
        <f t="shared" si="27"/>
        <v>231.38</v>
      </c>
      <c r="G203" s="28">
        <f t="shared" si="27"/>
        <v>1617.5083333333334</v>
      </c>
    </row>
    <row r="204" spans="1:79" x14ac:dyDescent="0.25">
      <c r="A204" s="293" t="s">
        <v>56</v>
      </c>
      <c r="B204" s="294"/>
      <c r="C204" s="294"/>
      <c r="D204" s="294"/>
      <c r="E204" s="294"/>
      <c r="F204" s="294"/>
      <c r="G204" s="294"/>
    </row>
    <row r="205" spans="1:79" x14ac:dyDescent="0.25">
      <c r="A205" s="293" t="s">
        <v>43</v>
      </c>
      <c r="B205" s="294"/>
      <c r="C205" s="294"/>
      <c r="D205" s="294"/>
      <c r="E205" s="294"/>
      <c r="F205" s="294"/>
      <c r="G205" s="294"/>
    </row>
    <row r="206" spans="1:79" x14ac:dyDescent="0.25">
      <c r="A206" s="285" t="s">
        <v>18</v>
      </c>
      <c r="B206" s="286"/>
      <c r="C206" s="286"/>
      <c r="D206" s="286"/>
      <c r="E206" s="286"/>
      <c r="F206" s="286"/>
      <c r="G206" s="286"/>
    </row>
    <row r="207" spans="1:79" x14ac:dyDescent="0.25">
      <c r="A207" s="287" t="s">
        <v>19</v>
      </c>
      <c r="B207" s="288"/>
      <c r="C207" s="288"/>
      <c r="D207" s="288"/>
      <c r="E207" s="288"/>
      <c r="F207" s="288"/>
      <c r="G207" s="288"/>
    </row>
    <row r="208" spans="1:79" x14ac:dyDescent="0.25">
      <c r="A208" s="14" t="s">
        <v>164</v>
      </c>
      <c r="B208" s="32" t="s">
        <v>165</v>
      </c>
      <c r="C208" s="24">
        <v>220</v>
      </c>
      <c r="D208" s="10">
        <v>5.3</v>
      </c>
      <c r="E208" s="10">
        <f>9.3/200*C208</f>
        <v>10.230000000000002</v>
      </c>
      <c r="F208" s="10">
        <f>34/200*C208</f>
        <v>37.400000000000006</v>
      </c>
      <c r="G208" s="10">
        <f>249.1/200*C208</f>
        <v>274.01</v>
      </c>
    </row>
    <row r="209" spans="1:79" x14ac:dyDescent="0.25">
      <c r="A209" s="8" t="s">
        <v>150</v>
      </c>
      <c r="B209" s="32" t="s">
        <v>36</v>
      </c>
      <c r="C209" s="9">
        <v>200</v>
      </c>
      <c r="D209" s="10">
        <f>3.8/200*C209</f>
        <v>3.8</v>
      </c>
      <c r="E209" s="10">
        <f>2.9/200*C209</f>
        <v>2.9</v>
      </c>
      <c r="F209" s="10">
        <f>11.3/200*C209</f>
        <v>11.3</v>
      </c>
      <c r="G209" s="10">
        <f>86/200*C209</f>
        <v>86</v>
      </c>
    </row>
    <row r="210" spans="1:79" x14ac:dyDescent="0.25">
      <c r="A210" s="14" t="s">
        <v>135</v>
      </c>
      <c r="B210" s="35" t="s">
        <v>22</v>
      </c>
      <c r="C210" s="6">
        <v>15</v>
      </c>
      <c r="D210" s="7">
        <f>3.5/15*C210</f>
        <v>3.5</v>
      </c>
      <c r="E210" s="7">
        <f>4.4/15*C210</f>
        <v>4.4000000000000004</v>
      </c>
      <c r="F210" s="7">
        <v>0</v>
      </c>
      <c r="G210" s="7">
        <f>53.7/15*C210</f>
        <v>53.7</v>
      </c>
    </row>
    <row r="211" spans="1:79" x14ac:dyDescent="0.25">
      <c r="A211" s="14" t="s">
        <v>124</v>
      </c>
      <c r="B211" s="35" t="s">
        <v>23</v>
      </c>
      <c r="C211" s="6">
        <v>25</v>
      </c>
      <c r="D211" s="10">
        <f>1.5/25*C211</f>
        <v>1.5</v>
      </c>
      <c r="E211" s="10">
        <f>0.5/25*C211</f>
        <v>0.5</v>
      </c>
      <c r="F211" s="10">
        <f>10.2/25*C211</f>
        <v>10.199999999999999</v>
      </c>
      <c r="G211" s="10">
        <f>52/25*C211</f>
        <v>52</v>
      </c>
    </row>
    <row r="212" spans="1:79" x14ac:dyDescent="0.25">
      <c r="A212" s="14" t="s">
        <v>124</v>
      </c>
      <c r="B212" s="32" t="s">
        <v>24</v>
      </c>
      <c r="C212" s="16">
        <v>40</v>
      </c>
      <c r="D212" s="25">
        <f>3.4/45*C212</f>
        <v>3.0222222222222221</v>
      </c>
      <c r="E212" s="25">
        <f>0.4/45*C212</f>
        <v>0.35555555555555557</v>
      </c>
      <c r="F212" s="25">
        <f>22.1/45*C212</f>
        <v>19.644444444444446</v>
      </c>
      <c r="G212" s="25">
        <f>105.8/45*C212</f>
        <v>94.044444444444437</v>
      </c>
    </row>
    <row r="213" spans="1:79" x14ac:dyDescent="0.25">
      <c r="A213" s="14"/>
      <c r="B213" s="32"/>
      <c r="C213" s="16"/>
      <c r="D213" s="11"/>
      <c r="E213" s="11"/>
      <c r="F213" s="11"/>
      <c r="G213" s="11"/>
    </row>
    <row r="214" spans="1:79" x14ac:dyDescent="0.25">
      <c r="A214" s="14"/>
      <c r="B214" s="6" t="s">
        <v>37</v>
      </c>
      <c r="C214" s="46">
        <f t="shared" ref="C214:G214" si="28">SUM(C208:C212)</f>
        <v>500</v>
      </c>
      <c r="D214" s="47">
        <f t="shared" si="28"/>
        <v>17.12222222222222</v>
      </c>
      <c r="E214" s="47">
        <f t="shared" si="28"/>
        <v>18.385555555555555</v>
      </c>
      <c r="F214" s="47">
        <f t="shared" si="28"/>
        <v>78.544444444444451</v>
      </c>
      <c r="G214" s="66">
        <f t="shared" si="28"/>
        <v>559.7544444444444</v>
      </c>
    </row>
    <row r="215" spans="1:79" x14ac:dyDescent="0.25">
      <c r="A215" s="281" t="s">
        <v>26</v>
      </c>
      <c r="B215" s="281"/>
      <c r="C215" s="281"/>
      <c r="D215" s="282"/>
      <c r="E215" s="282"/>
      <c r="F215" s="282"/>
      <c r="G215" s="282"/>
    </row>
    <row r="216" spans="1:79" x14ac:dyDescent="0.25">
      <c r="A216" s="4" t="s">
        <v>166</v>
      </c>
      <c r="B216" s="5" t="s">
        <v>81</v>
      </c>
      <c r="C216" s="90">
        <v>50</v>
      </c>
      <c r="D216" s="25">
        <f>0.8/60*C216</f>
        <v>0.66666666666666674</v>
      </c>
      <c r="E216" s="25">
        <f>2.7/60*C216</f>
        <v>2.2500000000000004</v>
      </c>
      <c r="F216" s="25">
        <f>4.6/60*C216</f>
        <v>3.833333333333333</v>
      </c>
      <c r="G216" s="25">
        <f>45.6/60*C216</f>
        <v>38</v>
      </c>
    </row>
    <row r="217" spans="1:79" ht="24" x14ac:dyDescent="0.25">
      <c r="A217" s="23" t="s">
        <v>138</v>
      </c>
      <c r="B217" s="40" t="s">
        <v>48</v>
      </c>
      <c r="C217" s="24">
        <v>200</v>
      </c>
      <c r="D217" s="10">
        <f>2.6/200*C217</f>
        <v>2.6</v>
      </c>
      <c r="E217" s="10">
        <f>2/200*C217</f>
        <v>2</v>
      </c>
      <c r="F217" s="10">
        <f>17.6/200*C217</f>
        <v>17.600000000000001</v>
      </c>
      <c r="G217" s="10">
        <f>95.4/200*C217</f>
        <v>95.4</v>
      </c>
    </row>
    <row r="218" spans="1:79" ht="24" x14ac:dyDescent="0.25">
      <c r="A218" s="23" t="s">
        <v>168</v>
      </c>
      <c r="B218" s="40" t="s">
        <v>167</v>
      </c>
      <c r="C218" s="63">
        <v>200</v>
      </c>
      <c r="D218" s="21">
        <f>16.3/250*C218</f>
        <v>13.040000000000001</v>
      </c>
      <c r="E218" s="21">
        <v>12.3</v>
      </c>
      <c r="F218" s="21">
        <v>28.24</v>
      </c>
      <c r="G218" s="21">
        <v>315.04000000000002</v>
      </c>
    </row>
    <row r="219" spans="1:79" x14ac:dyDescent="0.25">
      <c r="A219" s="240" t="s">
        <v>131</v>
      </c>
      <c r="B219" s="5" t="s">
        <v>41</v>
      </c>
      <c r="C219" s="41">
        <v>50</v>
      </c>
      <c r="D219" s="42">
        <f>0.54/30*C219</f>
        <v>0.90000000000000013</v>
      </c>
      <c r="E219" s="42">
        <f>3.67/30*C219</f>
        <v>6.1166666666666671</v>
      </c>
      <c r="F219" s="42">
        <f>5.24/30*C219</f>
        <v>8.7333333333333325</v>
      </c>
      <c r="G219" s="42">
        <f>56.16/30*C219</f>
        <v>93.6</v>
      </c>
    </row>
    <row r="220" spans="1:79" s="81" customFormat="1" x14ac:dyDescent="0.25">
      <c r="A220" s="8" t="s">
        <v>170</v>
      </c>
      <c r="B220" s="32" t="s">
        <v>169</v>
      </c>
      <c r="C220" s="9">
        <v>200</v>
      </c>
      <c r="D220" s="10">
        <f>0.3/200*C220</f>
        <v>0.3</v>
      </c>
      <c r="E220" s="10">
        <v>0</v>
      </c>
      <c r="F220" s="10">
        <f>6.7/200*C220</f>
        <v>6.7</v>
      </c>
      <c r="G220" s="10">
        <f>27.9/200*C220</f>
        <v>27.9</v>
      </c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8"/>
      <c r="BQ220" s="188"/>
      <c r="BR220" s="188"/>
      <c r="BS220" s="188"/>
      <c r="BT220" s="188"/>
      <c r="BU220" s="188"/>
      <c r="BV220" s="188"/>
      <c r="BW220" s="188"/>
      <c r="BX220" s="188"/>
      <c r="BY220" s="188"/>
      <c r="BZ220" s="188"/>
      <c r="CA220" s="188"/>
    </row>
    <row r="221" spans="1:79" x14ac:dyDescent="0.25">
      <c r="A221" s="8" t="s">
        <v>124</v>
      </c>
      <c r="B221" s="35" t="s">
        <v>23</v>
      </c>
      <c r="C221" s="6">
        <v>60</v>
      </c>
      <c r="D221" s="10">
        <f>1.5/25*C221</f>
        <v>3.5999999999999996</v>
      </c>
      <c r="E221" s="10">
        <f>0.5/25*C221</f>
        <v>1.2</v>
      </c>
      <c r="F221" s="10">
        <f>10.2/25*C221</f>
        <v>24.479999999999997</v>
      </c>
      <c r="G221" s="10">
        <f>52/25*C221</f>
        <v>124.80000000000001</v>
      </c>
    </row>
    <row r="222" spans="1:79" x14ac:dyDescent="0.25">
      <c r="A222" s="4" t="s">
        <v>124</v>
      </c>
      <c r="B222" s="32" t="s">
        <v>24</v>
      </c>
      <c r="C222" s="16">
        <v>30</v>
      </c>
      <c r="D222" s="25">
        <f>3.4/45*C222</f>
        <v>2.2666666666666666</v>
      </c>
      <c r="E222" s="25">
        <f>0.4/45*C222</f>
        <v>0.26666666666666666</v>
      </c>
      <c r="F222" s="25">
        <f>22.1/45*C222</f>
        <v>14.733333333333334</v>
      </c>
      <c r="G222" s="25">
        <f>105.8/45*C222</f>
        <v>70.533333333333331</v>
      </c>
    </row>
    <row r="223" spans="1:79" x14ac:dyDescent="0.25">
      <c r="A223" s="4"/>
      <c r="B223" s="36"/>
      <c r="C223" s="16"/>
      <c r="D223" s="11"/>
      <c r="E223" s="11"/>
      <c r="F223" s="11"/>
      <c r="G223" s="11"/>
    </row>
    <row r="224" spans="1:79" x14ac:dyDescent="0.25">
      <c r="A224" s="121"/>
      <c r="B224" s="71" t="s">
        <v>29</v>
      </c>
      <c r="C224" s="71">
        <f t="shared" ref="C224:G224" si="29">SUM(C216:C223)</f>
        <v>790</v>
      </c>
      <c r="D224" s="75">
        <f t="shared" si="29"/>
        <v>23.373333333333335</v>
      </c>
      <c r="E224" s="75">
        <f t="shared" si="29"/>
        <v>24.133333333333333</v>
      </c>
      <c r="F224" s="148">
        <f t="shared" si="29"/>
        <v>104.32000000000001</v>
      </c>
      <c r="G224" s="148">
        <f t="shared" si="29"/>
        <v>765.27333333333331</v>
      </c>
    </row>
    <row r="225" spans="1:7" ht="15.75" x14ac:dyDescent="0.25">
      <c r="A225" s="283" t="s">
        <v>30</v>
      </c>
      <c r="B225" s="284"/>
      <c r="C225" s="284"/>
      <c r="D225" s="284"/>
      <c r="E225" s="284"/>
      <c r="F225" s="284"/>
      <c r="G225" s="284"/>
    </row>
    <row r="226" spans="1:7" x14ac:dyDescent="0.25">
      <c r="A226" s="8">
        <v>279</v>
      </c>
      <c r="B226" s="32" t="s">
        <v>101</v>
      </c>
      <c r="C226" s="9">
        <v>80</v>
      </c>
      <c r="D226" s="10">
        <v>8.24</v>
      </c>
      <c r="E226" s="10">
        <f>6.66/60*C226</f>
        <v>8.8800000000000008</v>
      </c>
      <c r="F226" s="10">
        <v>37.76</v>
      </c>
      <c r="G226" s="10">
        <v>276</v>
      </c>
    </row>
    <row r="227" spans="1:7" x14ac:dyDescent="0.25">
      <c r="A227" s="8" t="s">
        <v>140</v>
      </c>
      <c r="B227" s="32" t="s">
        <v>20</v>
      </c>
      <c r="C227" s="9">
        <v>240</v>
      </c>
      <c r="D227" s="10">
        <f>0.2/200*C227</f>
        <v>0.24</v>
      </c>
      <c r="E227" s="10">
        <v>0</v>
      </c>
      <c r="F227" s="10">
        <f>6.5/200*C227</f>
        <v>7.8000000000000007</v>
      </c>
      <c r="G227" s="10">
        <f>26.8/200*C227</f>
        <v>32.160000000000004</v>
      </c>
    </row>
    <row r="228" spans="1:7" x14ac:dyDescent="0.25">
      <c r="A228" s="4"/>
      <c r="B228" s="4"/>
      <c r="C228" s="28"/>
      <c r="D228" s="56"/>
      <c r="E228" s="21"/>
      <c r="F228" s="21"/>
      <c r="G228" s="21"/>
    </row>
    <row r="229" spans="1:7" x14ac:dyDescent="0.25">
      <c r="A229" s="121"/>
      <c r="B229" s="71" t="s">
        <v>32</v>
      </c>
      <c r="C229" s="71">
        <f t="shared" ref="C229:G229" si="30">SUM(C226:C227)</f>
        <v>320</v>
      </c>
      <c r="D229" s="116">
        <f t="shared" si="30"/>
        <v>8.48</v>
      </c>
      <c r="E229" s="62">
        <f t="shared" si="30"/>
        <v>8.8800000000000008</v>
      </c>
      <c r="F229" s="62">
        <f t="shared" si="30"/>
        <v>45.56</v>
      </c>
      <c r="G229" s="62">
        <f t="shared" si="30"/>
        <v>308.16000000000003</v>
      </c>
    </row>
    <row r="230" spans="1:7" x14ac:dyDescent="0.25">
      <c r="A230" s="4"/>
      <c r="B230" s="28" t="s">
        <v>33</v>
      </c>
      <c r="C230" s="28">
        <f t="shared" ref="C230:G230" si="31">C229+C224+C214</f>
        <v>1610</v>
      </c>
      <c r="D230" s="54">
        <f t="shared" si="31"/>
        <v>48.975555555555559</v>
      </c>
      <c r="E230" s="28">
        <f t="shared" si="31"/>
        <v>51.398888888888891</v>
      </c>
      <c r="F230" s="28">
        <f t="shared" si="31"/>
        <v>228.42444444444445</v>
      </c>
      <c r="G230" s="28">
        <f t="shared" si="31"/>
        <v>1633.1877777777777</v>
      </c>
    </row>
    <row r="231" spans="1:7" x14ac:dyDescent="0.25">
      <c r="A231" s="293" t="s">
        <v>56</v>
      </c>
      <c r="B231" s="294"/>
      <c r="C231" s="294"/>
      <c r="D231" s="294"/>
      <c r="E231" s="294"/>
      <c r="F231" s="294"/>
      <c r="G231" s="294"/>
    </row>
    <row r="232" spans="1:7" x14ac:dyDescent="0.25">
      <c r="A232" s="293" t="s">
        <v>47</v>
      </c>
      <c r="B232" s="294"/>
      <c r="C232" s="294"/>
      <c r="D232" s="294"/>
      <c r="E232" s="294"/>
      <c r="F232" s="294"/>
      <c r="G232" s="294"/>
    </row>
    <row r="233" spans="1:7" x14ac:dyDescent="0.25">
      <c r="A233" s="285" t="s">
        <v>18</v>
      </c>
      <c r="B233" s="286"/>
      <c r="C233" s="286"/>
      <c r="D233" s="286"/>
      <c r="E233" s="286"/>
      <c r="F233" s="286"/>
      <c r="G233" s="286"/>
    </row>
    <row r="234" spans="1:7" x14ac:dyDescent="0.25">
      <c r="A234" s="287" t="s">
        <v>19</v>
      </c>
      <c r="B234" s="288"/>
      <c r="C234" s="288"/>
      <c r="D234" s="288"/>
      <c r="E234" s="288"/>
      <c r="F234" s="288"/>
      <c r="G234" s="288"/>
    </row>
    <row r="235" spans="1:7" x14ac:dyDescent="0.25">
      <c r="A235" s="22" t="s">
        <v>171</v>
      </c>
      <c r="B235" s="36" t="s">
        <v>172</v>
      </c>
      <c r="C235" s="16">
        <v>250</v>
      </c>
      <c r="D235" s="56">
        <f>6.9/250*C235</f>
        <v>6.9</v>
      </c>
      <c r="E235" s="56">
        <v>15.68</v>
      </c>
      <c r="F235" s="56">
        <f>22.33/250*C235</f>
        <v>22.33</v>
      </c>
      <c r="G235" s="56">
        <v>367.8</v>
      </c>
    </row>
    <row r="236" spans="1:7" x14ac:dyDescent="0.25">
      <c r="A236" s="8" t="s">
        <v>140</v>
      </c>
      <c r="B236" s="32" t="s">
        <v>20</v>
      </c>
      <c r="C236" s="9">
        <v>200</v>
      </c>
      <c r="D236" s="10">
        <f>0.2/200*C236</f>
        <v>0.2</v>
      </c>
      <c r="E236" s="10">
        <v>0</v>
      </c>
      <c r="F236" s="10">
        <f>6.5/200*C236</f>
        <v>6.5</v>
      </c>
      <c r="G236" s="10">
        <f>26.8/200*C236</f>
        <v>26.8</v>
      </c>
    </row>
    <row r="237" spans="1:7" x14ac:dyDescent="0.25">
      <c r="A237" s="4" t="s">
        <v>191</v>
      </c>
      <c r="B237" s="35" t="s">
        <v>21</v>
      </c>
      <c r="C237" s="6">
        <v>10</v>
      </c>
      <c r="D237" s="61">
        <f>10/10*C237</f>
        <v>10</v>
      </c>
      <c r="E237" s="61">
        <f>0.1/10*C237</f>
        <v>0.1</v>
      </c>
      <c r="F237" s="61">
        <f>7.2/10*C237</f>
        <v>7.1999999999999993</v>
      </c>
      <c r="G237" s="61">
        <f>1/10*C237</f>
        <v>1</v>
      </c>
    </row>
    <row r="238" spans="1:7" x14ac:dyDescent="0.25">
      <c r="A238" s="14" t="s">
        <v>124</v>
      </c>
      <c r="B238" s="35" t="s">
        <v>23</v>
      </c>
      <c r="C238" s="6">
        <v>25</v>
      </c>
      <c r="D238" s="10">
        <f>1.5/25*C238</f>
        <v>1.5</v>
      </c>
      <c r="E238" s="10">
        <f>0.5/25*C238</f>
        <v>0.5</v>
      </c>
      <c r="F238" s="10">
        <f>10.2/25*C238</f>
        <v>10.199999999999999</v>
      </c>
      <c r="G238" s="10">
        <f>52/25*C238</f>
        <v>52</v>
      </c>
    </row>
    <row r="239" spans="1:7" x14ac:dyDescent="0.25">
      <c r="A239" s="15" t="s">
        <v>124</v>
      </c>
      <c r="B239" s="32" t="s">
        <v>24</v>
      </c>
      <c r="C239" s="16">
        <v>35</v>
      </c>
      <c r="D239" s="25">
        <v>0.6</v>
      </c>
      <c r="E239" s="25">
        <f>0.4/45*C239</f>
        <v>0.31111111111111112</v>
      </c>
      <c r="F239" s="25">
        <f>22.1/45*C239</f>
        <v>17.18888888888889</v>
      </c>
      <c r="G239" s="25">
        <f>105.8/45*C239</f>
        <v>82.288888888888877</v>
      </c>
    </row>
    <row r="240" spans="1:7" x14ac:dyDescent="0.25">
      <c r="A240" s="15"/>
      <c r="B240" s="32"/>
      <c r="C240" s="16"/>
      <c r="D240" s="11"/>
      <c r="E240" s="11"/>
      <c r="F240" s="11"/>
      <c r="G240" s="11"/>
    </row>
    <row r="241" spans="1:79" x14ac:dyDescent="0.25">
      <c r="A241" s="4"/>
      <c r="B241" s="28" t="s">
        <v>37</v>
      </c>
      <c r="C241" s="28">
        <f t="shared" ref="C241:G241" si="32">SUM(C235:C239)</f>
        <v>520</v>
      </c>
      <c r="D241" s="54">
        <f t="shared" si="32"/>
        <v>19.200000000000003</v>
      </c>
      <c r="E241" s="54">
        <f t="shared" si="32"/>
        <v>16.591111111111111</v>
      </c>
      <c r="F241" s="54">
        <f t="shared" si="32"/>
        <v>63.418888888888894</v>
      </c>
      <c r="G241" s="55">
        <f t="shared" si="32"/>
        <v>529.88888888888891</v>
      </c>
    </row>
    <row r="242" spans="1:79" x14ac:dyDescent="0.25">
      <c r="A242" s="281" t="s">
        <v>26</v>
      </c>
      <c r="B242" s="282"/>
      <c r="C242" s="282"/>
      <c r="D242" s="282"/>
      <c r="E242" s="282"/>
      <c r="F242" s="282"/>
      <c r="G242" s="282"/>
    </row>
    <row r="243" spans="1:79" x14ac:dyDescent="0.25">
      <c r="A243" s="8" t="s">
        <v>127</v>
      </c>
      <c r="B243" s="32" t="s">
        <v>75</v>
      </c>
      <c r="C243" s="28">
        <v>30</v>
      </c>
      <c r="D243" s="56">
        <f>0.7/60*C243</f>
        <v>0.35</v>
      </c>
      <c r="E243" s="21">
        <f>0.1/60*C243</f>
        <v>0.05</v>
      </c>
      <c r="F243" s="21">
        <f>2.3/60*C243</f>
        <v>1.1499999999999999</v>
      </c>
      <c r="G243" s="21">
        <f>12.8/60*C243</f>
        <v>6.4</v>
      </c>
      <c r="H243" s="250"/>
    </row>
    <row r="244" spans="1:79" s="152" customFormat="1" x14ac:dyDescent="0.25">
      <c r="A244" s="23" t="s">
        <v>174</v>
      </c>
      <c r="B244" s="40" t="s">
        <v>173</v>
      </c>
      <c r="C244" s="24">
        <v>200</v>
      </c>
      <c r="D244" s="21">
        <f>2.34/200*C244</f>
        <v>2.34</v>
      </c>
      <c r="E244" s="21">
        <f>3.89/200*C244</f>
        <v>3.8900000000000006</v>
      </c>
      <c r="F244" s="21">
        <f>13.61/200*C244</f>
        <v>13.61</v>
      </c>
      <c r="G244" s="21">
        <f>198.1/200*C244</f>
        <v>198.1</v>
      </c>
      <c r="H244" s="251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190"/>
      <c r="BR244" s="190"/>
      <c r="BS244" s="190"/>
      <c r="BT244" s="190"/>
      <c r="BU244" s="190"/>
      <c r="BV244" s="190"/>
      <c r="BW244" s="190"/>
      <c r="BX244" s="190"/>
      <c r="BY244" s="190"/>
      <c r="BZ244" s="190"/>
      <c r="CA244" s="190"/>
    </row>
    <row r="245" spans="1:79" s="81" customFormat="1" x14ac:dyDescent="0.25">
      <c r="A245" s="14" t="s">
        <v>175</v>
      </c>
      <c r="B245" s="147" t="s">
        <v>67</v>
      </c>
      <c r="C245" s="6">
        <v>150</v>
      </c>
      <c r="D245" s="7">
        <f>3.7/150*C245</f>
        <v>3.7</v>
      </c>
      <c r="E245" s="7">
        <v>12.8</v>
      </c>
      <c r="F245" s="7">
        <v>26.5</v>
      </c>
      <c r="G245" s="7">
        <v>180.3</v>
      </c>
      <c r="H245" s="252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88"/>
      <c r="BN245" s="188"/>
      <c r="BO245" s="188"/>
      <c r="BP245" s="188"/>
      <c r="BQ245" s="188"/>
      <c r="BR245" s="188"/>
      <c r="BS245" s="188"/>
      <c r="BT245" s="188"/>
      <c r="BU245" s="188"/>
      <c r="BV245" s="188"/>
      <c r="BW245" s="188"/>
      <c r="BX245" s="188"/>
      <c r="BY245" s="188"/>
      <c r="BZ245" s="188"/>
      <c r="CA245" s="188"/>
    </row>
    <row r="246" spans="1:79" x14ac:dyDescent="0.25">
      <c r="A246" s="19" t="s">
        <v>129</v>
      </c>
      <c r="B246" s="32" t="s">
        <v>102</v>
      </c>
      <c r="C246" s="20">
        <v>100</v>
      </c>
      <c r="D246" s="21">
        <f>12.9/100*C246</f>
        <v>12.9</v>
      </c>
      <c r="E246" s="21">
        <f>4/100*C246</f>
        <v>4</v>
      </c>
      <c r="F246" s="21">
        <f>6.1/100*C246</f>
        <v>6.1</v>
      </c>
      <c r="G246" s="21">
        <f>112.2/100*C246</f>
        <v>112.20000000000002</v>
      </c>
      <c r="H246" s="250"/>
    </row>
    <row r="247" spans="1:79" x14ac:dyDescent="0.25">
      <c r="A247" s="240" t="s">
        <v>131</v>
      </c>
      <c r="B247" s="5" t="s">
        <v>41</v>
      </c>
      <c r="C247" s="41">
        <v>30</v>
      </c>
      <c r="D247" s="42">
        <f>0.54/30*C247</f>
        <v>0.54</v>
      </c>
      <c r="E247" s="42">
        <f>3.67/30*C247</f>
        <v>3.67</v>
      </c>
      <c r="F247" s="42">
        <f>5.24/30*C247</f>
        <v>5.24</v>
      </c>
      <c r="G247" s="42">
        <f>56.16/30*C247</f>
        <v>56.16</v>
      </c>
      <c r="H247" s="250"/>
    </row>
    <row r="248" spans="1:79" s="81" customFormat="1" x14ac:dyDescent="0.25">
      <c r="A248" s="23" t="s">
        <v>147</v>
      </c>
      <c r="B248" s="5" t="s">
        <v>28</v>
      </c>
      <c r="C248" s="24">
        <v>200</v>
      </c>
      <c r="D248" s="25">
        <f>0.5/200*C248</f>
        <v>0.5</v>
      </c>
      <c r="E248" s="25">
        <v>0</v>
      </c>
      <c r="F248" s="25">
        <f>19.8/200*C248</f>
        <v>19.8</v>
      </c>
      <c r="G248" s="86">
        <f>81/200*C248</f>
        <v>81</v>
      </c>
      <c r="H248" s="252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88"/>
      <c r="AT248" s="188"/>
      <c r="AU248" s="188"/>
      <c r="AV248" s="188"/>
      <c r="AW248" s="188"/>
      <c r="AX248" s="188"/>
      <c r="AY248" s="188"/>
      <c r="AZ248" s="188"/>
      <c r="BA248" s="188"/>
      <c r="BB248" s="188"/>
      <c r="BC248" s="188"/>
      <c r="BD248" s="188"/>
      <c r="BE248" s="188"/>
      <c r="BF248" s="188"/>
      <c r="BG248" s="188"/>
      <c r="BH248" s="188"/>
      <c r="BI248" s="188"/>
      <c r="BJ248" s="188"/>
      <c r="BK248" s="188"/>
      <c r="BL248" s="188"/>
      <c r="BM248" s="188"/>
      <c r="BN248" s="188"/>
      <c r="BO248" s="188"/>
      <c r="BP248" s="188"/>
      <c r="BQ248" s="188"/>
      <c r="BR248" s="188"/>
      <c r="BS248" s="188"/>
      <c r="BT248" s="188"/>
      <c r="BU248" s="188"/>
      <c r="BV248" s="188"/>
      <c r="BW248" s="188"/>
      <c r="BX248" s="188"/>
      <c r="BY248" s="188"/>
      <c r="BZ248" s="188"/>
      <c r="CA248" s="188"/>
    </row>
    <row r="249" spans="1:79" x14ac:dyDescent="0.25">
      <c r="A249" s="8" t="s">
        <v>124</v>
      </c>
      <c r="B249" s="35" t="s">
        <v>23</v>
      </c>
      <c r="C249" s="6">
        <v>60</v>
      </c>
      <c r="D249" s="10">
        <f>1.5/25*C249</f>
        <v>3.5999999999999996</v>
      </c>
      <c r="E249" s="10">
        <f>0.5/25*C249</f>
        <v>1.2</v>
      </c>
      <c r="F249" s="10">
        <f>10.2/25*C249</f>
        <v>24.479999999999997</v>
      </c>
      <c r="G249" s="10">
        <v>100.9</v>
      </c>
      <c r="H249" s="250"/>
    </row>
    <row r="250" spans="1:79" x14ac:dyDescent="0.25">
      <c r="A250" s="4" t="s">
        <v>124</v>
      </c>
      <c r="B250" s="32" t="s">
        <v>24</v>
      </c>
      <c r="C250" s="16">
        <v>30</v>
      </c>
      <c r="D250" s="25">
        <f>3.4/45*C250</f>
        <v>2.2666666666666666</v>
      </c>
      <c r="E250" s="25">
        <f>0.4/45*C250</f>
        <v>0.26666666666666666</v>
      </c>
      <c r="F250" s="25">
        <f>22.1/45*C250</f>
        <v>14.733333333333334</v>
      </c>
      <c r="G250" s="25">
        <f>105.8/45*C250</f>
        <v>70.533333333333331</v>
      </c>
      <c r="H250" s="250"/>
    </row>
    <row r="251" spans="1:79" x14ac:dyDescent="0.25">
      <c r="A251" s="4"/>
      <c r="B251" s="4"/>
      <c r="C251" s="24"/>
      <c r="D251" s="10"/>
      <c r="E251" s="10"/>
      <c r="F251" s="10"/>
      <c r="G251" s="10"/>
      <c r="H251" s="250"/>
    </row>
    <row r="252" spans="1:79" x14ac:dyDescent="0.25">
      <c r="A252" s="4"/>
      <c r="B252" s="28" t="s">
        <v>29</v>
      </c>
      <c r="C252" s="24">
        <f t="shared" ref="C252:G252" si="33">SUM(C243:C251)</f>
        <v>800</v>
      </c>
      <c r="D252" s="235">
        <f t="shared" si="33"/>
        <v>26.196666666666665</v>
      </c>
      <c r="E252" s="235">
        <f t="shared" si="33"/>
        <v>25.876666666666669</v>
      </c>
      <c r="F252" s="206">
        <f t="shared" si="33"/>
        <v>111.61333333333333</v>
      </c>
      <c r="G252" s="206">
        <f t="shared" si="33"/>
        <v>805.59333333333325</v>
      </c>
    </row>
    <row r="253" spans="1:79" ht="15.75" x14ac:dyDescent="0.25">
      <c r="A253" s="291" t="s">
        <v>30</v>
      </c>
      <c r="B253" s="292"/>
      <c r="C253" s="292"/>
      <c r="D253" s="292"/>
      <c r="E253" s="292"/>
      <c r="F253" s="292"/>
      <c r="G253" s="292"/>
    </row>
    <row r="254" spans="1:79" x14ac:dyDescent="0.25">
      <c r="A254" s="72">
        <v>296</v>
      </c>
      <c r="B254" s="244" t="s">
        <v>76</v>
      </c>
      <c r="C254" s="73">
        <v>100</v>
      </c>
      <c r="D254" s="228">
        <v>6.4</v>
      </c>
      <c r="E254" s="228">
        <v>5.31</v>
      </c>
      <c r="F254" s="74">
        <v>35.1</v>
      </c>
      <c r="G254" s="74">
        <v>201.3</v>
      </c>
    </row>
    <row r="255" spans="1:79" x14ac:dyDescent="0.25">
      <c r="A255" s="23">
        <v>269</v>
      </c>
      <c r="B255" s="5" t="s">
        <v>103</v>
      </c>
      <c r="C255" s="26">
        <v>200</v>
      </c>
      <c r="D255" s="21">
        <v>3.5</v>
      </c>
      <c r="E255" s="21">
        <v>5.5</v>
      </c>
      <c r="F255" s="21">
        <f>9/200*C255</f>
        <v>9</v>
      </c>
      <c r="G255" s="21">
        <f>128/200*C255</f>
        <v>128</v>
      </c>
    </row>
    <row r="256" spans="1:79" x14ac:dyDescent="0.25">
      <c r="A256" s="4"/>
      <c r="B256" s="28"/>
      <c r="C256" s="28"/>
      <c r="D256" s="75"/>
      <c r="E256" s="75"/>
      <c r="F256" s="75"/>
      <c r="G256" s="75"/>
    </row>
    <row r="257" spans="1:79" x14ac:dyDescent="0.25">
      <c r="A257" s="4"/>
      <c r="B257" s="28" t="s">
        <v>32</v>
      </c>
      <c r="C257" s="28">
        <f t="shared" ref="C257:G257" si="34">SUM(C254:C256)</f>
        <v>300</v>
      </c>
      <c r="D257" s="75">
        <f t="shared" si="34"/>
        <v>9.9</v>
      </c>
      <c r="E257" s="75">
        <f t="shared" si="34"/>
        <v>10.809999999999999</v>
      </c>
      <c r="F257" s="75">
        <f t="shared" si="34"/>
        <v>44.1</v>
      </c>
      <c r="G257" s="148">
        <f t="shared" si="34"/>
        <v>329.3</v>
      </c>
    </row>
    <row r="258" spans="1:79" x14ac:dyDescent="0.25">
      <c r="A258" s="76"/>
      <c r="B258" s="28" t="s">
        <v>33</v>
      </c>
      <c r="C258" s="28">
        <f>C257+C252+C241</f>
        <v>1620</v>
      </c>
      <c r="D258" s="54">
        <f t="shared" ref="D258:G258" si="35">D257+D252+D241</f>
        <v>55.296666666666667</v>
      </c>
      <c r="E258" s="28">
        <f t="shared" si="35"/>
        <v>53.277777777777779</v>
      </c>
      <c r="F258" s="28">
        <f t="shared" si="35"/>
        <v>219.13222222222223</v>
      </c>
      <c r="G258" s="28">
        <f t="shared" si="35"/>
        <v>1664.7822222222221</v>
      </c>
    </row>
    <row r="259" spans="1:79" x14ac:dyDescent="0.25">
      <c r="A259" s="293" t="s">
        <v>56</v>
      </c>
      <c r="B259" s="294"/>
      <c r="C259" s="294"/>
      <c r="D259" s="294"/>
      <c r="E259" s="294"/>
      <c r="F259" s="294"/>
      <c r="G259" s="294"/>
    </row>
    <row r="260" spans="1:79" x14ac:dyDescent="0.25">
      <c r="A260" s="293" t="s">
        <v>51</v>
      </c>
      <c r="B260" s="294"/>
      <c r="C260" s="294"/>
      <c r="D260" s="294"/>
      <c r="E260" s="294"/>
      <c r="F260" s="294"/>
      <c r="G260" s="294"/>
    </row>
    <row r="261" spans="1:79" x14ac:dyDescent="0.25">
      <c r="A261" s="285" t="s">
        <v>18</v>
      </c>
      <c r="B261" s="286"/>
      <c r="C261" s="286"/>
      <c r="D261" s="286"/>
      <c r="E261" s="286"/>
      <c r="F261" s="286"/>
      <c r="G261" s="286"/>
    </row>
    <row r="262" spans="1:79" x14ac:dyDescent="0.25">
      <c r="A262" s="287" t="s">
        <v>19</v>
      </c>
      <c r="B262" s="288"/>
      <c r="C262" s="288"/>
      <c r="D262" s="288"/>
      <c r="E262" s="288"/>
      <c r="F262" s="288"/>
      <c r="G262" s="288"/>
    </row>
    <row r="263" spans="1:79" s="81" customFormat="1" x14ac:dyDescent="0.25">
      <c r="A263" s="19" t="s">
        <v>177</v>
      </c>
      <c r="B263" s="32" t="s">
        <v>176</v>
      </c>
      <c r="C263" s="28">
        <v>220</v>
      </c>
      <c r="D263" s="56">
        <f>6.8/200*C263</f>
        <v>7.48</v>
      </c>
      <c r="E263" s="56">
        <f>7.5/200*C263</f>
        <v>8.25</v>
      </c>
      <c r="F263" s="56">
        <f>24.7/200*C263</f>
        <v>27.169999999999998</v>
      </c>
      <c r="G263" s="56">
        <f>192.6/200*C263</f>
        <v>211.85999999999999</v>
      </c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  <c r="BY263" s="188"/>
      <c r="BZ263" s="188"/>
      <c r="CA263" s="188"/>
    </row>
    <row r="264" spans="1:79" x14ac:dyDescent="0.25">
      <c r="A264" s="8" t="s">
        <v>134</v>
      </c>
      <c r="B264" s="32" t="s">
        <v>44</v>
      </c>
      <c r="C264" s="9">
        <v>200</v>
      </c>
      <c r="D264" s="10">
        <v>3.6</v>
      </c>
      <c r="E264" s="10">
        <f>3.6/200*C264</f>
        <v>3.6000000000000005</v>
      </c>
      <c r="F264" s="10">
        <f>12.6/200*C264</f>
        <v>12.6</v>
      </c>
      <c r="G264" s="10">
        <f>100.4/200*C264</f>
        <v>100.4</v>
      </c>
    </row>
    <row r="265" spans="1:79" x14ac:dyDescent="0.25">
      <c r="A265" s="14" t="s">
        <v>135</v>
      </c>
      <c r="B265" s="35" t="s">
        <v>22</v>
      </c>
      <c r="C265" s="6">
        <v>15</v>
      </c>
      <c r="D265" s="7">
        <v>2.5</v>
      </c>
      <c r="E265" s="7">
        <f>4.4/15*C265</f>
        <v>4.4000000000000004</v>
      </c>
      <c r="F265" s="7">
        <v>0</v>
      </c>
      <c r="G265" s="7">
        <f>53.7/15*C265</f>
        <v>53.7</v>
      </c>
    </row>
    <row r="266" spans="1:79" x14ac:dyDescent="0.25">
      <c r="A266" s="14" t="s">
        <v>124</v>
      </c>
      <c r="B266" s="35" t="s">
        <v>23</v>
      </c>
      <c r="C266" s="6">
        <v>30</v>
      </c>
      <c r="D266" s="10">
        <f>1.5/25*C266</f>
        <v>1.7999999999999998</v>
      </c>
      <c r="E266" s="10">
        <f>0.5/25*C266</f>
        <v>0.6</v>
      </c>
      <c r="F266" s="10">
        <f>10.2/25*C266</f>
        <v>12.239999999999998</v>
      </c>
      <c r="G266" s="10">
        <f>52/25*C266</f>
        <v>62.400000000000006</v>
      </c>
    </row>
    <row r="267" spans="1:79" x14ac:dyDescent="0.25">
      <c r="A267" s="14" t="s">
        <v>124</v>
      </c>
      <c r="B267" s="32" t="s">
        <v>24</v>
      </c>
      <c r="C267" s="16">
        <v>45</v>
      </c>
      <c r="D267" s="25">
        <f>3.4/45*C267</f>
        <v>3.4</v>
      </c>
      <c r="E267" s="25">
        <f>0.4/45*C267</f>
        <v>0.4</v>
      </c>
      <c r="F267" s="25">
        <f>22.1/45*C267</f>
        <v>22.1</v>
      </c>
      <c r="G267" s="25">
        <f>105.8/45*C267</f>
        <v>105.8</v>
      </c>
    </row>
    <row r="268" spans="1:79" x14ac:dyDescent="0.25">
      <c r="A268" s="4"/>
      <c r="B268" s="15"/>
      <c r="C268" s="16"/>
      <c r="D268" s="11"/>
      <c r="E268" s="11"/>
      <c r="F268" s="11"/>
      <c r="G268" s="11"/>
    </row>
    <row r="269" spans="1:79" x14ac:dyDescent="0.25">
      <c r="A269" s="4"/>
      <c r="B269" s="28" t="s">
        <v>37</v>
      </c>
      <c r="C269" s="28">
        <f t="shared" ref="C269:G269" si="36">SUM(C263:C268)</f>
        <v>510</v>
      </c>
      <c r="D269" s="54">
        <f t="shared" si="36"/>
        <v>18.779999999999998</v>
      </c>
      <c r="E269" s="54">
        <f t="shared" si="36"/>
        <v>17.25</v>
      </c>
      <c r="F269" s="54">
        <f t="shared" si="36"/>
        <v>74.109999999999985</v>
      </c>
      <c r="G269" s="55">
        <f t="shared" si="36"/>
        <v>534.16</v>
      </c>
    </row>
    <row r="270" spans="1:79" x14ac:dyDescent="0.25">
      <c r="A270" s="281" t="s">
        <v>26</v>
      </c>
      <c r="B270" s="282"/>
      <c r="C270" s="282"/>
      <c r="D270" s="282"/>
      <c r="E270" s="282"/>
      <c r="F270" s="282"/>
      <c r="G270" s="282"/>
    </row>
    <row r="271" spans="1:79" x14ac:dyDescent="0.25">
      <c r="A271" s="19">
        <v>19</v>
      </c>
      <c r="B271" s="201" t="s">
        <v>84</v>
      </c>
      <c r="C271" s="46">
        <v>60</v>
      </c>
      <c r="D271" s="220">
        <f>0.8/60*C271</f>
        <v>0.8</v>
      </c>
      <c r="E271" s="220">
        <f>2/60*C271</f>
        <v>2</v>
      </c>
      <c r="F271" s="220">
        <f>4.1/60*C271</f>
        <v>4.0999999999999996</v>
      </c>
      <c r="G271" s="220">
        <f>37.6/60*C271</f>
        <v>37.6</v>
      </c>
    </row>
    <row r="272" spans="1:79" x14ac:dyDescent="0.25">
      <c r="A272" s="8">
        <v>61</v>
      </c>
      <c r="B272" s="32" t="s">
        <v>90</v>
      </c>
      <c r="C272" s="208">
        <v>200</v>
      </c>
      <c r="D272" s="61">
        <f>1.42/200*C272</f>
        <v>1.42</v>
      </c>
      <c r="E272" s="61">
        <f>3.72/200*C272</f>
        <v>3.72</v>
      </c>
      <c r="F272" s="61">
        <f>8.08/200*C272</f>
        <v>8.08</v>
      </c>
      <c r="G272" s="133">
        <f>71.2/200*C272</f>
        <v>71.2</v>
      </c>
    </row>
    <row r="273" spans="1:7" x14ac:dyDescent="0.25">
      <c r="A273" s="14">
        <v>208</v>
      </c>
      <c r="B273" s="35" t="s">
        <v>91</v>
      </c>
      <c r="C273" s="6">
        <v>150</v>
      </c>
      <c r="D273" s="117">
        <f>6.6/150*C273</f>
        <v>6.6</v>
      </c>
      <c r="E273" s="117">
        <f>5.4/150*C273</f>
        <v>5.4</v>
      </c>
      <c r="F273" s="117">
        <f>38.5/150*C273</f>
        <v>38.5</v>
      </c>
      <c r="G273" s="117">
        <f>229.5/150*C273</f>
        <v>229.5</v>
      </c>
    </row>
    <row r="274" spans="1:7" x14ac:dyDescent="0.25">
      <c r="A274" s="4" t="s">
        <v>178</v>
      </c>
      <c r="B274" s="35" t="s">
        <v>58</v>
      </c>
      <c r="C274" s="6">
        <v>75</v>
      </c>
      <c r="D274" s="7">
        <v>11</v>
      </c>
      <c r="E274" s="7">
        <v>8.6</v>
      </c>
      <c r="F274" s="7">
        <f>10.1/90*C274</f>
        <v>8.4166666666666661</v>
      </c>
      <c r="G274" s="7">
        <f>126.4/90*C274</f>
        <v>105.33333333333334</v>
      </c>
    </row>
    <row r="275" spans="1:7" x14ac:dyDescent="0.25">
      <c r="A275" s="240" t="s">
        <v>131</v>
      </c>
      <c r="B275" s="5" t="s">
        <v>41</v>
      </c>
      <c r="C275" s="41">
        <v>40</v>
      </c>
      <c r="D275" s="42">
        <f>0.54/30*C275</f>
        <v>0.72000000000000008</v>
      </c>
      <c r="E275" s="42">
        <f>3.67/30*C275</f>
        <v>4.8933333333333335</v>
      </c>
      <c r="F275" s="42">
        <f>5.24/30*C275</f>
        <v>6.9866666666666664</v>
      </c>
      <c r="G275" s="25">
        <f>56.16/30*C275</f>
        <v>74.88</v>
      </c>
    </row>
    <row r="276" spans="1:7" x14ac:dyDescent="0.25">
      <c r="A276" s="8" t="s">
        <v>140</v>
      </c>
      <c r="B276" s="32" t="s">
        <v>20</v>
      </c>
      <c r="C276" s="9">
        <v>200</v>
      </c>
      <c r="D276" s="10">
        <v>0.2</v>
      </c>
      <c r="E276" s="10">
        <v>0</v>
      </c>
      <c r="F276" s="10">
        <v>6.5</v>
      </c>
      <c r="G276" s="10">
        <v>26.8</v>
      </c>
    </row>
    <row r="277" spans="1:7" x14ac:dyDescent="0.25">
      <c r="A277" s="4" t="s">
        <v>124</v>
      </c>
      <c r="B277" s="35" t="s">
        <v>23</v>
      </c>
      <c r="C277" s="6">
        <v>60</v>
      </c>
      <c r="D277" s="10">
        <f>1.5/25*C277</f>
        <v>3.5999999999999996</v>
      </c>
      <c r="E277" s="10">
        <f>0.5/25*C277</f>
        <v>1.2</v>
      </c>
      <c r="F277" s="10">
        <f>10.2/25*C277</f>
        <v>24.479999999999997</v>
      </c>
      <c r="G277" s="10">
        <f>52/25*C277</f>
        <v>124.80000000000001</v>
      </c>
    </row>
    <row r="278" spans="1:7" x14ac:dyDescent="0.25">
      <c r="A278" s="4" t="s">
        <v>124</v>
      </c>
      <c r="B278" s="32" t="s">
        <v>24</v>
      </c>
      <c r="C278" s="16">
        <v>30</v>
      </c>
      <c r="D278" s="25">
        <f>3.4/45*C278</f>
        <v>2.2666666666666666</v>
      </c>
      <c r="E278" s="25">
        <f>0.4/45*C278</f>
        <v>0.26666666666666666</v>
      </c>
      <c r="F278" s="25">
        <f>22.1/45*C278</f>
        <v>14.733333333333334</v>
      </c>
      <c r="G278" s="25">
        <f>105.8/45*C278</f>
        <v>70.533333333333331</v>
      </c>
    </row>
    <row r="279" spans="1:7" x14ac:dyDescent="0.25">
      <c r="A279" s="4"/>
      <c r="B279" s="4"/>
      <c r="C279" s="77"/>
      <c r="D279" s="60"/>
      <c r="E279" s="60"/>
      <c r="F279" s="60"/>
      <c r="G279" s="60"/>
    </row>
    <row r="280" spans="1:7" x14ac:dyDescent="0.25">
      <c r="A280" s="4"/>
      <c r="B280" s="28" t="s">
        <v>29</v>
      </c>
      <c r="C280" s="28">
        <f t="shared" ref="C280:G280" si="37">SUM(C271:C279)</f>
        <v>815</v>
      </c>
      <c r="D280" s="54">
        <f t="shared" si="37"/>
        <v>26.606666666666662</v>
      </c>
      <c r="E280" s="54">
        <f t="shared" si="37"/>
        <v>26.08</v>
      </c>
      <c r="F280" s="55">
        <f t="shared" si="37"/>
        <v>111.79666666666667</v>
      </c>
      <c r="G280" s="55">
        <f t="shared" si="37"/>
        <v>740.64666666666653</v>
      </c>
    </row>
    <row r="281" spans="1:7" ht="15.75" x14ac:dyDescent="0.25">
      <c r="A281" s="4"/>
      <c r="B281" s="291" t="s">
        <v>30</v>
      </c>
      <c r="C281" s="292"/>
      <c r="D281" s="292"/>
      <c r="E281" s="292"/>
      <c r="F281" s="292"/>
      <c r="G281" s="292"/>
    </row>
    <row r="282" spans="1:7" x14ac:dyDescent="0.25">
      <c r="A282" s="78" t="s">
        <v>124</v>
      </c>
      <c r="B282" s="32" t="s">
        <v>100</v>
      </c>
      <c r="C282" s="28">
        <v>250</v>
      </c>
      <c r="D282" s="56">
        <v>2.78</v>
      </c>
      <c r="E282" s="56">
        <f>0.4/200*C282</f>
        <v>0.5</v>
      </c>
      <c r="F282" s="56">
        <f>23.2/200*C282</f>
        <v>28.999999999999996</v>
      </c>
      <c r="G282" s="56">
        <f>100/200*C282</f>
        <v>125</v>
      </c>
    </row>
    <row r="283" spans="1:7" x14ac:dyDescent="0.25">
      <c r="A283" s="78" t="s">
        <v>124</v>
      </c>
      <c r="B283" s="32" t="s">
        <v>92</v>
      </c>
      <c r="C283" s="28">
        <v>60</v>
      </c>
      <c r="D283" s="56">
        <v>5.5</v>
      </c>
      <c r="E283" s="56">
        <v>9.24</v>
      </c>
      <c r="F283" s="56">
        <v>18.260000000000002</v>
      </c>
      <c r="G283" s="56">
        <f>157.2/60*C283</f>
        <v>157.19999999999999</v>
      </c>
    </row>
    <row r="284" spans="1:7" x14ac:dyDescent="0.25">
      <c r="A284" s="78"/>
      <c r="B284" s="78"/>
      <c r="C284" s="79"/>
      <c r="D284" s="79"/>
      <c r="E284" s="79"/>
      <c r="F284" s="79"/>
      <c r="G284" s="79"/>
    </row>
    <row r="285" spans="1:7" x14ac:dyDescent="0.25">
      <c r="A285" s="78"/>
      <c r="B285" s="28" t="s">
        <v>32</v>
      </c>
      <c r="C285" s="73">
        <f t="shared" ref="C285:G285" si="38">SUM(C282:C284)</f>
        <v>310</v>
      </c>
      <c r="D285" s="80">
        <f t="shared" si="38"/>
        <v>8.2799999999999994</v>
      </c>
      <c r="E285" s="80">
        <f t="shared" si="38"/>
        <v>9.74</v>
      </c>
      <c r="F285" s="80">
        <f t="shared" si="38"/>
        <v>47.26</v>
      </c>
      <c r="G285" s="210">
        <f t="shared" si="38"/>
        <v>282.2</v>
      </c>
    </row>
    <row r="286" spans="1:7" x14ac:dyDescent="0.25">
      <c r="A286" s="78"/>
      <c r="B286" s="28" t="s">
        <v>33</v>
      </c>
      <c r="C286" s="73">
        <f>C285+C280+C269</f>
        <v>1635</v>
      </c>
      <c r="D286" s="80">
        <f t="shared" ref="D286:G286" si="39">D285+D280+D269</f>
        <v>53.666666666666657</v>
      </c>
      <c r="E286" s="73">
        <f t="shared" si="39"/>
        <v>53.07</v>
      </c>
      <c r="F286" s="73">
        <f t="shared" si="39"/>
        <v>233.16666666666666</v>
      </c>
      <c r="G286" s="73">
        <f t="shared" si="39"/>
        <v>1557.0066666666667</v>
      </c>
    </row>
    <row r="287" spans="1:7" x14ac:dyDescent="0.25">
      <c r="A287" s="254"/>
      <c r="B287" s="255"/>
      <c r="C287" s="256"/>
      <c r="D287" s="257"/>
      <c r="E287" s="256"/>
      <c r="F287" s="256"/>
      <c r="G287" s="256"/>
    </row>
    <row r="288" spans="1:7" ht="23.25" customHeight="1" x14ac:dyDescent="0.35">
      <c r="A288" s="280" t="s">
        <v>116</v>
      </c>
      <c r="B288" s="280"/>
      <c r="C288" s="280"/>
      <c r="D288" s="280"/>
      <c r="E288" s="280"/>
      <c r="F288" s="280"/>
      <c r="G288" s="280"/>
    </row>
    <row r="289" spans="1:79" x14ac:dyDescent="0.25">
      <c r="A289" s="1"/>
      <c r="B289" s="1"/>
      <c r="C289" s="1"/>
      <c r="D289" s="1"/>
      <c r="E289" s="1"/>
      <c r="F289" s="1"/>
      <c r="G289" s="1"/>
    </row>
    <row r="290" spans="1:79" x14ac:dyDescent="0.25">
      <c r="A290" s="271" t="s">
        <v>208</v>
      </c>
      <c r="B290" s="1"/>
      <c r="C290" s="1"/>
      <c r="D290" s="1"/>
      <c r="E290" s="1"/>
      <c r="F290" s="1"/>
      <c r="G290" s="1"/>
    </row>
    <row r="291" spans="1:79" x14ac:dyDescent="0.25">
      <c r="A291" s="259" t="s">
        <v>118</v>
      </c>
      <c r="B291" s="1"/>
      <c r="C291" s="1"/>
      <c r="D291" s="1"/>
      <c r="E291" s="237"/>
      <c r="F291" s="237"/>
      <c r="G291" s="237"/>
    </row>
    <row r="292" spans="1:79" ht="15" customHeight="1" x14ac:dyDescent="0.25">
      <c r="A292" s="275" t="s">
        <v>108</v>
      </c>
      <c r="B292" s="273" t="s">
        <v>109</v>
      </c>
      <c r="C292" s="277" t="s">
        <v>110</v>
      </c>
      <c r="D292" s="279" t="s">
        <v>111</v>
      </c>
      <c r="E292" s="279"/>
      <c r="F292" s="279"/>
      <c r="G292" s="278" t="s">
        <v>112</v>
      </c>
    </row>
    <row r="293" spans="1:79" x14ac:dyDescent="0.25">
      <c r="A293" s="276"/>
      <c r="B293" s="274"/>
      <c r="C293" s="277"/>
      <c r="D293" s="241" t="s">
        <v>0</v>
      </c>
      <c r="E293" s="241" t="s">
        <v>1</v>
      </c>
      <c r="F293" s="241" t="s">
        <v>2</v>
      </c>
      <c r="G293" s="278"/>
    </row>
    <row r="294" spans="1:79" x14ac:dyDescent="0.25">
      <c r="A294" s="293" t="s">
        <v>16</v>
      </c>
      <c r="B294" s="294"/>
      <c r="C294" s="294"/>
      <c r="D294" s="294"/>
      <c r="E294" s="294"/>
      <c r="F294" s="294"/>
      <c r="G294" s="294"/>
    </row>
    <row r="295" spans="1:79" x14ac:dyDescent="0.25">
      <c r="A295" s="293" t="s">
        <v>17</v>
      </c>
      <c r="B295" s="294"/>
      <c r="C295" s="294"/>
      <c r="D295" s="294"/>
      <c r="E295" s="294"/>
      <c r="F295" s="294"/>
      <c r="G295" s="294"/>
    </row>
    <row r="296" spans="1:79" x14ac:dyDescent="0.25">
      <c r="A296" s="285" t="s">
        <v>18</v>
      </c>
      <c r="B296" s="286"/>
      <c r="C296" s="286"/>
      <c r="D296" s="286"/>
      <c r="E296" s="286"/>
      <c r="F296" s="286"/>
      <c r="G296" s="286"/>
    </row>
    <row r="297" spans="1:79" x14ac:dyDescent="0.25">
      <c r="A297" s="287" t="s">
        <v>19</v>
      </c>
      <c r="B297" s="288"/>
      <c r="C297" s="288"/>
      <c r="D297" s="296"/>
      <c r="E297" s="296"/>
      <c r="F297" s="296"/>
      <c r="G297" s="296"/>
    </row>
    <row r="298" spans="1:79" ht="24.75" customHeight="1" x14ac:dyDescent="0.25">
      <c r="A298" s="8" t="s">
        <v>179</v>
      </c>
      <c r="B298" s="32" t="s">
        <v>180</v>
      </c>
      <c r="C298" s="20">
        <v>200</v>
      </c>
      <c r="D298" s="61">
        <v>5.2</v>
      </c>
      <c r="E298" s="61">
        <v>15.2</v>
      </c>
      <c r="F298" s="61">
        <v>31</v>
      </c>
      <c r="G298" s="133">
        <f>287.8/200*C298</f>
        <v>287.8</v>
      </c>
    </row>
    <row r="299" spans="1:79" x14ac:dyDescent="0.25">
      <c r="A299" s="8" t="s">
        <v>123</v>
      </c>
      <c r="B299" s="32" t="s">
        <v>122</v>
      </c>
      <c r="C299" s="9">
        <v>220</v>
      </c>
      <c r="D299" s="10">
        <v>0.7</v>
      </c>
      <c r="E299" s="10">
        <f>1.1/200*C299</f>
        <v>1.2100000000000002</v>
      </c>
      <c r="F299" s="10">
        <v>3.27</v>
      </c>
      <c r="G299" s="10">
        <f>50.9/200*C299</f>
        <v>55.99</v>
      </c>
    </row>
    <row r="300" spans="1:79" s="81" customFormat="1" x14ac:dyDescent="0.25">
      <c r="A300" s="4" t="s">
        <v>191</v>
      </c>
      <c r="B300" s="35" t="s">
        <v>21</v>
      </c>
      <c r="C300" s="6">
        <v>10</v>
      </c>
      <c r="D300" s="61">
        <f>10/10*C300</f>
        <v>10</v>
      </c>
      <c r="E300" s="61">
        <v>0.2</v>
      </c>
      <c r="F300" s="61">
        <f>7.2/10*C300</f>
        <v>7.1999999999999993</v>
      </c>
      <c r="G300" s="61">
        <f>1/10*C300</f>
        <v>1</v>
      </c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  <c r="BB300" s="188"/>
      <c r="BC300" s="188"/>
      <c r="BD300" s="188"/>
      <c r="BE300" s="188"/>
      <c r="BF300" s="188"/>
      <c r="BG300" s="188"/>
      <c r="BH300" s="188"/>
      <c r="BI300" s="188"/>
      <c r="BJ300" s="188"/>
      <c r="BK300" s="188"/>
      <c r="BL300" s="188"/>
      <c r="BM300" s="188"/>
      <c r="BN300" s="188"/>
      <c r="BO300" s="188"/>
      <c r="BP300" s="188"/>
      <c r="BQ300" s="188"/>
      <c r="BR300" s="188"/>
      <c r="BS300" s="188"/>
      <c r="BT300" s="188"/>
      <c r="BU300" s="188"/>
      <c r="BV300" s="188"/>
      <c r="BW300" s="188"/>
      <c r="BX300" s="188"/>
      <c r="BY300" s="188"/>
      <c r="BZ300" s="188"/>
      <c r="CA300" s="188"/>
    </row>
    <row r="301" spans="1:79" s="81" customFormat="1" x14ac:dyDescent="0.25">
      <c r="A301" s="14" t="s">
        <v>124</v>
      </c>
      <c r="B301" s="35" t="s">
        <v>23</v>
      </c>
      <c r="C301" s="6">
        <v>25</v>
      </c>
      <c r="D301" s="10">
        <f>1.5/25*C301</f>
        <v>1.5</v>
      </c>
      <c r="E301" s="10">
        <f>0.5/25*C301</f>
        <v>0.5</v>
      </c>
      <c r="F301" s="10">
        <f>10.2/25*C301</f>
        <v>10.199999999999999</v>
      </c>
      <c r="G301" s="10">
        <f>52/25*C301</f>
        <v>52</v>
      </c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88"/>
      <c r="AX301" s="188"/>
      <c r="AY301" s="188"/>
      <c r="AZ301" s="188"/>
      <c r="BA301" s="188"/>
      <c r="BB301" s="188"/>
      <c r="BC301" s="188"/>
      <c r="BD301" s="188"/>
      <c r="BE301" s="188"/>
      <c r="BF301" s="188"/>
      <c r="BG301" s="188"/>
      <c r="BH301" s="188"/>
      <c r="BI301" s="188"/>
      <c r="BJ301" s="188"/>
      <c r="BK301" s="188"/>
      <c r="BL301" s="188"/>
      <c r="BM301" s="188"/>
      <c r="BN301" s="188"/>
      <c r="BO301" s="188"/>
      <c r="BP301" s="188"/>
      <c r="BQ301" s="188"/>
      <c r="BR301" s="188"/>
      <c r="BS301" s="188"/>
      <c r="BT301" s="188"/>
      <c r="BU301" s="188"/>
      <c r="BV301" s="188"/>
      <c r="BW301" s="188"/>
      <c r="BX301" s="188"/>
      <c r="BY301" s="188"/>
      <c r="BZ301" s="188"/>
      <c r="CA301" s="188"/>
    </row>
    <row r="302" spans="1:79" s="81" customFormat="1" x14ac:dyDescent="0.25">
      <c r="A302" s="15" t="s">
        <v>124</v>
      </c>
      <c r="B302" s="32" t="s">
        <v>24</v>
      </c>
      <c r="C302" s="16">
        <v>45</v>
      </c>
      <c r="D302" s="25">
        <v>1.4</v>
      </c>
      <c r="E302" s="25">
        <f>0.4/45*C302</f>
        <v>0.4</v>
      </c>
      <c r="F302" s="25">
        <f>22.1/45*C302</f>
        <v>22.1</v>
      </c>
      <c r="G302" s="25">
        <f>105.8/45*C302</f>
        <v>105.8</v>
      </c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8"/>
      <c r="BC302" s="188"/>
      <c r="BD302" s="188"/>
      <c r="BE302" s="188"/>
      <c r="BF302" s="188"/>
      <c r="BG302" s="188"/>
      <c r="BH302" s="188"/>
      <c r="BI302" s="188"/>
      <c r="BJ302" s="188"/>
      <c r="BK302" s="188"/>
      <c r="BL302" s="188"/>
      <c r="BM302" s="188"/>
      <c r="BN302" s="188"/>
      <c r="BO302" s="188"/>
      <c r="BP302" s="188"/>
      <c r="BQ302" s="188"/>
      <c r="BR302" s="188"/>
      <c r="BS302" s="188"/>
      <c r="BT302" s="188"/>
      <c r="BU302" s="188"/>
      <c r="BV302" s="188"/>
      <c r="BW302" s="188"/>
      <c r="BX302" s="188"/>
      <c r="BY302" s="188"/>
      <c r="BZ302" s="188"/>
      <c r="CA302" s="188"/>
    </row>
    <row r="303" spans="1:79" x14ac:dyDescent="0.25">
      <c r="A303" s="15"/>
      <c r="B303" s="4"/>
      <c r="C303" s="16"/>
      <c r="D303" s="11"/>
      <c r="E303" s="11"/>
      <c r="F303" s="11"/>
      <c r="G303" s="11"/>
    </row>
    <row r="304" spans="1:79" x14ac:dyDescent="0.25">
      <c r="A304" s="17"/>
      <c r="B304" s="6" t="s">
        <v>25</v>
      </c>
      <c r="C304" s="17">
        <f t="shared" ref="C304:G304" si="40">SUM(C298:C302)</f>
        <v>500</v>
      </c>
      <c r="D304" s="82">
        <f t="shared" si="40"/>
        <v>18.799999999999997</v>
      </c>
      <c r="E304" s="82">
        <f t="shared" si="40"/>
        <v>17.509999999999998</v>
      </c>
      <c r="F304" s="82">
        <f t="shared" si="40"/>
        <v>73.77000000000001</v>
      </c>
      <c r="G304" s="82">
        <f t="shared" si="40"/>
        <v>502.59000000000003</v>
      </c>
    </row>
    <row r="305" spans="1:79" x14ac:dyDescent="0.25">
      <c r="A305" s="289" t="s">
        <v>26</v>
      </c>
      <c r="B305" s="297"/>
      <c r="C305" s="297"/>
      <c r="D305" s="297"/>
      <c r="E305" s="297"/>
      <c r="F305" s="297"/>
      <c r="G305" s="297"/>
    </row>
    <row r="306" spans="1:79" x14ac:dyDescent="0.25">
      <c r="A306" s="8" t="s">
        <v>126</v>
      </c>
      <c r="B306" s="5" t="s">
        <v>39</v>
      </c>
      <c r="C306" s="24">
        <v>60</v>
      </c>
      <c r="D306" s="25">
        <f>0.5/60*C306</f>
        <v>0.5</v>
      </c>
      <c r="E306" s="25">
        <f>0.1/60*C306</f>
        <v>0.1</v>
      </c>
      <c r="F306" s="25">
        <f>1.5/60*C306</f>
        <v>1.5</v>
      </c>
      <c r="G306" s="86">
        <f>8.5/60*C306</f>
        <v>8.5</v>
      </c>
    </row>
    <row r="307" spans="1:79" x14ac:dyDescent="0.25">
      <c r="A307" s="68" t="s">
        <v>128</v>
      </c>
      <c r="B307" s="88" t="s">
        <v>70</v>
      </c>
      <c r="C307" s="28">
        <v>250</v>
      </c>
      <c r="D307" s="21">
        <f>4.7/200*C307</f>
        <v>5.875</v>
      </c>
      <c r="E307" s="21">
        <f>5.7/200*C307</f>
        <v>7.125</v>
      </c>
      <c r="F307" s="21">
        <f>10.1/200*C307</f>
        <v>12.624999999999998</v>
      </c>
      <c r="G307" s="89">
        <f>110.4/200*C307</f>
        <v>138</v>
      </c>
    </row>
    <row r="308" spans="1:79" s="81" customFormat="1" x14ac:dyDescent="0.25">
      <c r="A308" s="22" t="s">
        <v>181</v>
      </c>
      <c r="B308" s="84" t="s">
        <v>62</v>
      </c>
      <c r="C308" s="70">
        <v>200</v>
      </c>
      <c r="D308" s="85">
        <f>11.3/200*C308</f>
        <v>11.3</v>
      </c>
      <c r="E308" s="85">
        <v>18.7</v>
      </c>
      <c r="F308" s="85">
        <v>27.3</v>
      </c>
      <c r="G308" s="85">
        <v>388.8</v>
      </c>
      <c r="H308" s="188"/>
      <c r="I308" s="188"/>
      <c r="J308" s="188"/>
      <c r="K308" s="188"/>
      <c r="L308" s="188"/>
      <c r="M308" s="188"/>
      <c r="N308" s="188"/>
      <c r="O308" s="188"/>
      <c r="P308" s="188"/>
      <c r="Q308" s="188" t="s">
        <v>209</v>
      </c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  <c r="AB308" s="188"/>
      <c r="AC308" s="188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  <c r="AT308" s="188"/>
      <c r="AU308" s="188"/>
      <c r="AV308" s="188"/>
      <c r="AW308" s="188"/>
      <c r="AX308" s="188"/>
      <c r="AY308" s="188"/>
      <c r="AZ308" s="188"/>
      <c r="BA308" s="188"/>
      <c r="BB308" s="188"/>
      <c r="BC308" s="188"/>
      <c r="BD308" s="188"/>
      <c r="BE308" s="188"/>
      <c r="BF308" s="188"/>
      <c r="BG308" s="188"/>
      <c r="BH308" s="188"/>
      <c r="BI308" s="188"/>
      <c r="BJ308" s="188"/>
      <c r="BK308" s="188"/>
      <c r="BL308" s="188"/>
      <c r="BM308" s="188"/>
      <c r="BN308" s="188"/>
      <c r="BO308" s="188"/>
      <c r="BP308" s="188"/>
      <c r="BQ308" s="188"/>
      <c r="BR308" s="188"/>
      <c r="BS308" s="188"/>
      <c r="BT308" s="188"/>
      <c r="BU308" s="188"/>
      <c r="BV308" s="188"/>
      <c r="BW308" s="188"/>
      <c r="BX308" s="188"/>
      <c r="BY308" s="188"/>
      <c r="BZ308" s="188"/>
      <c r="CA308" s="188"/>
    </row>
    <row r="309" spans="1:79" s="81" customFormat="1" x14ac:dyDescent="0.25">
      <c r="A309" s="8" t="s">
        <v>170</v>
      </c>
      <c r="B309" s="32" t="s">
        <v>169</v>
      </c>
      <c r="C309" s="9">
        <v>200</v>
      </c>
      <c r="D309" s="10">
        <f>0.3/200*C309</f>
        <v>0.3</v>
      </c>
      <c r="E309" s="10">
        <v>0</v>
      </c>
      <c r="F309" s="10">
        <v>26.7</v>
      </c>
      <c r="G309" s="10">
        <f>27.9/200*C309</f>
        <v>27.9</v>
      </c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  <c r="AB309" s="188"/>
      <c r="AC309" s="188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  <c r="AY309" s="188"/>
      <c r="AZ309" s="188"/>
      <c r="BA309" s="188"/>
      <c r="BB309" s="188"/>
      <c r="BC309" s="188"/>
      <c r="BD309" s="188"/>
      <c r="BE309" s="188"/>
      <c r="BF309" s="188"/>
      <c r="BG309" s="188"/>
      <c r="BH309" s="188"/>
      <c r="BI309" s="188"/>
      <c r="BJ309" s="188"/>
      <c r="BK309" s="188"/>
      <c r="BL309" s="188"/>
      <c r="BM309" s="188"/>
      <c r="BN309" s="188"/>
      <c r="BO309" s="188"/>
      <c r="BP309" s="188"/>
      <c r="BQ309" s="188"/>
      <c r="BR309" s="188"/>
      <c r="BS309" s="188"/>
      <c r="BT309" s="188"/>
      <c r="BU309" s="188"/>
      <c r="BV309" s="188"/>
      <c r="BW309" s="188"/>
      <c r="BX309" s="188"/>
      <c r="BY309" s="188"/>
      <c r="BZ309" s="188"/>
      <c r="CA309" s="188"/>
    </row>
    <row r="310" spans="1:79" x14ac:dyDescent="0.25">
      <c r="A310" s="95" t="s">
        <v>124</v>
      </c>
      <c r="B310" s="35" t="s">
        <v>23</v>
      </c>
      <c r="C310" s="6">
        <v>60</v>
      </c>
      <c r="D310" s="10">
        <f>1.5/25*C310</f>
        <v>3.5999999999999996</v>
      </c>
      <c r="E310" s="10">
        <f>0.5/25*C310</f>
        <v>1.2</v>
      </c>
      <c r="F310" s="10">
        <f>10.2/25*C310</f>
        <v>24.479999999999997</v>
      </c>
      <c r="G310" s="10">
        <f>52/25*C310</f>
        <v>124.80000000000001</v>
      </c>
    </row>
    <row r="311" spans="1:79" x14ac:dyDescent="0.25">
      <c r="A311" s="95" t="s">
        <v>124</v>
      </c>
      <c r="B311" s="32" t="s">
        <v>24</v>
      </c>
      <c r="C311" s="16">
        <v>30</v>
      </c>
      <c r="D311" s="25">
        <f>3.4/45*C311</f>
        <v>2.2666666666666666</v>
      </c>
      <c r="E311" s="25">
        <f>0.4/45*C311</f>
        <v>0.26666666666666666</v>
      </c>
      <c r="F311" s="25">
        <f>22.1/45*C311</f>
        <v>14.733333333333334</v>
      </c>
      <c r="G311" s="25">
        <f>105.8/45*C311</f>
        <v>70.533333333333331</v>
      </c>
    </row>
    <row r="312" spans="1:79" x14ac:dyDescent="0.25">
      <c r="A312" s="95"/>
      <c r="B312" s="101"/>
      <c r="C312" s="102"/>
      <c r="D312" s="103"/>
      <c r="E312" s="103"/>
      <c r="F312" s="103"/>
      <c r="G312" s="103"/>
    </row>
    <row r="313" spans="1:79" x14ac:dyDescent="0.25">
      <c r="A313" s="4"/>
      <c r="B313" s="71" t="s">
        <v>29</v>
      </c>
      <c r="C313" s="98">
        <f t="shared" ref="C313:G313" si="41">SUM(C306:C312)</f>
        <v>800</v>
      </c>
      <c r="D313" s="75">
        <f t="shared" si="41"/>
        <v>23.841666666666669</v>
      </c>
      <c r="E313" s="71">
        <f t="shared" si="41"/>
        <v>27.391666666666662</v>
      </c>
      <c r="F313" s="71">
        <f t="shared" si="41"/>
        <v>107.33833333333332</v>
      </c>
      <c r="G313" s="75">
        <f t="shared" si="41"/>
        <v>758.5333333333333</v>
      </c>
    </row>
    <row r="314" spans="1:79" x14ac:dyDescent="0.25">
      <c r="A314" s="289" t="s">
        <v>30</v>
      </c>
      <c r="B314" s="290"/>
      <c r="C314" s="290"/>
      <c r="D314" s="290"/>
      <c r="E314" s="290"/>
      <c r="F314" s="290"/>
      <c r="G314" s="290"/>
    </row>
    <row r="315" spans="1:79" x14ac:dyDescent="0.25">
      <c r="A315" s="8" t="s">
        <v>150</v>
      </c>
      <c r="B315" s="32" t="s">
        <v>36</v>
      </c>
      <c r="C315" s="9">
        <v>150</v>
      </c>
      <c r="D315" s="10">
        <f>3.8/200*C315</f>
        <v>2.85</v>
      </c>
      <c r="E315" s="10">
        <f>2.9/200*C315</f>
        <v>2.1749999999999998</v>
      </c>
      <c r="F315" s="10">
        <f>11.3/200*C315</f>
        <v>8.4749999999999996</v>
      </c>
      <c r="G315" s="10">
        <f>86/200*C315</f>
        <v>64.5</v>
      </c>
    </row>
    <row r="316" spans="1:79" x14ac:dyDescent="0.25">
      <c r="A316" s="4">
        <v>125</v>
      </c>
      <c r="B316" s="32" t="s">
        <v>46</v>
      </c>
      <c r="C316" s="28">
        <v>150</v>
      </c>
      <c r="D316" s="56">
        <v>8.5</v>
      </c>
      <c r="E316" s="56">
        <f>11.7/200*C316</f>
        <v>8.7749999999999986</v>
      </c>
      <c r="F316" s="56">
        <f>43.56/200*C316</f>
        <v>32.67</v>
      </c>
      <c r="G316" s="56">
        <f>351/200*C316</f>
        <v>263.25</v>
      </c>
    </row>
    <row r="317" spans="1:79" x14ac:dyDescent="0.25">
      <c r="A317" s="4"/>
      <c r="B317" s="4"/>
      <c r="C317" s="29"/>
      <c r="D317" s="30"/>
      <c r="E317" s="30"/>
      <c r="F317" s="30"/>
      <c r="G317" s="30"/>
    </row>
    <row r="318" spans="1:79" x14ac:dyDescent="0.25">
      <c r="A318" s="4"/>
      <c r="B318" s="28" t="s">
        <v>32</v>
      </c>
      <c r="C318" s="29">
        <f>SUM(C315:C316)</f>
        <v>300</v>
      </c>
      <c r="D318" s="30">
        <f>SUM(D315:D316)</f>
        <v>11.35</v>
      </c>
      <c r="E318" s="30">
        <f t="shared" ref="E318:G318" si="42">SUM(E315:E316)</f>
        <v>10.95</v>
      </c>
      <c r="F318" s="30">
        <f t="shared" si="42"/>
        <v>41.145000000000003</v>
      </c>
      <c r="G318" s="30">
        <f t="shared" si="42"/>
        <v>327.75</v>
      </c>
    </row>
    <row r="319" spans="1:79" x14ac:dyDescent="0.25">
      <c r="A319" s="4"/>
      <c r="B319" s="28" t="s">
        <v>33</v>
      </c>
      <c r="C319" s="29">
        <f t="shared" ref="C319:G319" si="43">C318+C313+C304</f>
        <v>1600</v>
      </c>
      <c r="D319" s="30">
        <f t="shared" si="43"/>
        <v>53.991666666666667</v>
      </c>
      <c r="E319" s="29">
        <f t="shared" si="43"/>
        <v>55.851666666666659</v>
      </c>
      <c r="F319" s="29">
        <f t="shared" si="43"/>
        <v>222.25333333333333</v>
      </c>
      <c r="G319" s="30">
        <f t="shared" si="43"/>
        <v>1588.8733333333334</v>
      </c>
    </row>
    <row r="320" spans="1:79" x14ac:dyDescent="0.25">
      <c r="A320" s="293" t="s">
        <v>16</v>
      </c>
      <c r="B320" s="294"/>
      <c r="C320" s="294"/>
      <c r="D320" s="294"/>
      <c r="E320" s="294"/>
      <c r="F320" s="294"/>
      <c r="G320" s="294"/>
    </row>
    <row r="321" spans="1:79" x14ac:dyDescent="0.25">
      <c r="A321" s="293" t="s">
        <v>93</v>
      </c>
      <c r="B321" s="294"/>
      <c r="C321" s="294"/>
      <c r="D321" s="294"/>
      <c r="E321" s="294"/>
      <c r="F321" s="294"/>
      <c r="G321" s="294"/>
    </row>
    <row r="322" spans="1:79" x14ac:dyDescent="0.25">
      <c r="A322" s="285" t="s">
        <v>18</v>
      </c>
      <c r="B322" s="286"/>
      <c r="C322" s="286"/>
      <c r="D322" s="286"/>
      <c r="E322" s="286"/>
      <c r="F322" s="286"/>
      <c r="G322" s="286"/>
    </row>
    <row r="323" spans="1:79" x14ac:dyDescent="0.25">
      <c r="A323" s="287" t="s">
        <v>19</v>
      </c>
      <c r="B323" s="288"/>
      <c r="C323" s="288"/>
      <c r="D323" s="288"/>
      <c r="E323" s="288"/>
      <c r="F323" s="288"/>
      <c r="G323" s="288"/>
    </row>
    <row r="324" spans="1:79" x14ac:dyDescent="0.25">
      <c r="A324" s="8" t="s">
        <v>161</v>
      </c>
      <c r="B324" s="5" t="s">
        <v>69</v>
      </c>
      <c r="C324" s="24">
        <v>220</v>
      </c>
      <c r="D324" s="10">
        <f>6.12/250*C324</f>
        <v>5.3856000000000002</v>
      </c>
      <c r="E324" s="10">
        <v>8</v>
      </c>
      <c r="F324" s="10">
        <f>22.98/250*C324</f>
        <v>20.2224</v>
      </c>
      <c r="G324" s="10">
        <f>166.85/250*C324</f>
        <v>146.828</v>
      </c>
    </row>
    <row r="325" spans="1:79" x14ac:dyDescent="0.25">
      <c r="A325" s="8" t="s">
        <v>150</v>
      </c>
      <c r="B325" s="32" t="s">
        <v>36</v>
      </c>
      <c r="C325" s="9">
        <v>200</v>
      </c>
      <c r="D325" s="10">
        <f>3.8/200*C325</f>
        <v>3.8</v>
      </c>
      <c r="E325" s="10">
        <f>2.9/200*C325</f>
        <v>2.9</v>
      </c>
      <c r="F325" s="10">
        <v>15.3</v>
      </c>
      <c r="G325" s="10">
        <v>186</v>
      </c>
    </row>
    <row r="326" spans="1:79" x14ac:dyDescent="0.25">
      <c r="A326" s="14" t="s">
        <v>135</v>
      </c>
      <c r="B326" s="35" t="s">
        <v>22</v>
      </c>
      <c r="C326" s="6">
        <v>15</v>
      </c>
      <c r="D326" s="7">
        <f>3.5/15*C326</f>
        <v>3.5</v>
      </c>
      <c r="E326" s="7">
        <f>4.4/15*C326</f>
        <v>4.4000000000000004</v>
      </c>
      <c r="F326" s="7">
        <v>0</v>
      </c>
      <c r="G326" s="7">
        <f>53.7/15*C326</f>
        <v>53.7</v>
      </c>
    </row>
    <row r="327" spans="1:79" x14ac:dyDescent="0.25">
      <c r="A327" s="14" t="s">
        <v>124</v>
      </c>
      <c r="B327" s="35" t="s">
        <v>23</v>
      </c>
      <c r="C327" s="6">
        <v>25</v>
      </c>
      <c r="D327" s="10">
        <f>1.5/25*C327</f>
        <v>1.5</v>
      </c>
      <c r="E327" s="10">
        <f>0.5/25*C327</f>
        <v>0.5</v>
      </c>
      <c r="F327" s="10">
        <f>10.2/25*C327</f>
        <v>10.199999999999999</v>
      </c>
      <c r="G327" s="10">
        <f>52/25*C327</f>
        <v>52</v>
      </c>
    </row>
    <row r="328" spans="1:79" x14ac:dyDescent="0.25">
      <c r="A328" s="14" t="s">
        <v>124</v>
      </c>
      <c r="B328" s="32" t="s">
        <v>24</v>
      </c>
      <c r="C328" s="16">
        <v>45</v>
      </c>
      <c r="D328" s="25">
        <f>3.4/45*C328</f>
        <v>3.4</v>
      </c>
      <c r="E328" s="25">
        <f>0.4/45*C328</f>
        <v>0.4</v>
      </c>
      <c r="F328" s="25">
        <v>25.1</v>
      </c>
      <c r="G328" s="25">
        <f>105.8/45*C328</f>
        <v>105.8</v>
      </c>
    </row>
    <row r="329" spans="1:79" x14ac:dyDescent="0.25">
      <c r="A329" s="15"/>
      <c r="B329" s="4"/>
      <c r="C329" s="16"/>
      <c r="D329" s="11"/>
      <c r="E329" s="11"/>
      <c r="F329" s="11"/>
      <c r="G329" s="11"/>
    </row>
    <row r="330" spans="1:79" x14ac:dyDescent="0.25">
      <c r="A330" s="17"/>
      <c r="B330" s="6" t="s">
        <v>25</v>
      </c>
      <c r="C330" s="17">
        <f t="shared" ref="C330:G330" si="44">SUM(C324:C328)</f>
        <v>505</v>
      </c>
      <c r="D330" s="82">
        <f t="shared" si="44"/>
        <v>17.585599999999999</v>
      </c>
      <c r="E330" s="82">
        <f t="shared" si="44"/>
        <v>16.2</v>
      </c>
      <c r="F330" s="82">
        <f t="shared" si="44"/>
        <v>70.822400000000016</v>
      </c>
      <c r="G330" s="82">
        <f t="shared" si="44"/>
        <v>544.32799999999997</v>
      </c>
    </row>
    <row r="331" spans="1:79" x14ac:dyDescent="0.25">
      <c r="A331" s="289" t="s">
        <v>26</v>
      </c>
      <c r="B331" s="297"/>
      <c r="C331" s="297"/>
      <c r="D331" s="297"/>
      <c r="E331" s="297"/>
      <c r="F331" s="297"/>
      <c r="G331" s="297"/>
    </row>
    <row r="332" spans="1:79" x14ac:dyDescent="0.25">
      <c r="A332" s="8" t="s">
        <v>136</v>
      </c>
      <c r="B332" s="32" t="s">
        <v>74</v>
      </c>
      <c r="C332" s="9">
        <v>60</v>
      </c>
      <c r="D332" s="10">
        <f>0.6/60*C332</f>
        <v>0.6</v>
      </c>
      <c r="E332" s="10">
        <f>5.3/60*C332</f>
        <v>5.3</v>
      </c>
      <c r="F332" s="10">
        <f>4.1/60*C332</f>
        <v>4.0999999999999996</v>
      </c>
      <c r="G332" s="10">
        <f>67.1/60*C332</f>
        <v>67.099999999999994</v>
      </c>
    </row>
    <row r="333" spans="1:79" x14ac:dyDescent="0.25">
      <c r="A333" s="19" t="s">
        <v>131</v>
      </c>
      <c r="B333" s="32" t="s">
        <v>27</v>
      </c>
      <c r="C333" s="20">
        <v>150</v>
      </c>
      <c r="D333" s="21">
        <f>4.8/200*C333</f>
        <v>3.6</v>
      </c>
      <c r="E333" s="21">
        <f>5.8/200*C333</f>
        <v>4.3499999999999996</v>
      </c>
      <c r="F333" s="21">
        <f>13.6/200*C333</f>
        <v>10.200000000000001</v>
      </c>
      <c r="G333" s="89">
        <f>125.5/200*C333</f>
        <v>94.124999999999986</v>
      </c>
    </row>
    <row r="334" spans="1:79" x14ac:dyDescent="0.25">
      <c r="A334" s="146" t="s">
        <v>139</v>
      </c>
      <c r="B334" s="153" t="s">
        <v>64</v>
      </c>
      <c r="C334" s="53">
        <v>180</v>
      </c>
      <c r="D334" s="56">
        <v>14.57</v>
      </c>
      <c r="E334" s="56">
        <v>9.2899999999999991</v>
      </c>
      <c r="F334" s="56">
        <v>45.9</v>
      </c>
      <c r="G334" s="56">
        <v>305.60000000000002</v>
      </c>
    </row>
    <row r="335" spans="1:79" x14ac:dyDescent="0.25">
      <c r="A335" s="146" t="s">
        <v>131</v>
      </c>
      <c r="B335" s="5" t="s">
        <v>41</v>
      </c>
      <c r="C335" s="41">
        <v>30</v>
      </c>
      <c r="D335" s="42">
        <f>0.54/30*C335</f>
        <v>0.54</v>
      </c>
      <c r="E335" s="42">
        <f>3.67/30*C335</f>
        <v>3.67</v>
      </c>
      <c r="F335" s="42">
        <f>5.24/30*C335</f>
        <v>5.24</v>
      </c>
      <c r="G335" s="42">
        <f>56.16/30*C335</f>
        <v>56.16</v>
      </c>
    </row>
    <row r="336" spans="1:79" s="123" customFormat="1" x14ac:dyDescent="0.25">
      <c r="A336" s="8" t="s">
        <v>182</v>
      </c>
      <c r="B336" s="32" t="s">
        <v>71</v>
      </c>
      <c r="C336" s="90">
        <v>200</v>
      </c>
      <c r="D336" s="61">
        <f>0.15/200*C336</f>
        <v>0.15</v>
      </c>
      <c r="E336" s="61">
        <f>0.14/200*C336</f>
        <v>0.14000000000000001</v>
      </c>
      <c r="F336" s="61">
        <f>9.93/200*C336</f>
        <v>9.93</v>
      </c>
      <c r="G336" s="61">
        <f>41.5/200*C336</f>
        <v>41.5</v>
      </c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</row>
    <row r="337" spans="1:79" x14ac:dyDescent="0.25">
      <c r="A337" s="154" t="s">
        <v>124</v>
      </c>
      <c r="B337" s="35" t="s">
        <v>23</v>
      </c>
      <c r="C337" s="6">
        <v>60</v>
      </c>
      <c r="D337" s="10">
        <f>1.5/25*C337</f>
        <v>3.5999999999999996</v>
      </c>
      <c r="E337" s="10">
        <f>0.5/25*C337</f>
        <v>1.2</v>
      </c>
      <c r="F337" s="10">
        <f>10.2/25*C337</f>
        <v>24.479999999999997</v>
      </c>
      <c r="G337" s="10">
        <f>52/25*C337</f>
        <v>124.80000000000001</v>
      </c>
    </row>
    <row r="338" spans="1:79" x14ac:dyDescent="0.25">
      <c r="A338" s="95" t="s">
        <v>124</v>
      </c>
      <c r="B338" s="32" t="s">
        <v>24</v>
      </c>
      <c r="C338" s="16">
        <v>30</v>
      </c>
      <c r="D338" s="25">
        <f>3.4/45*C338</f>
        <v>2.2666666666666666</v>
      </c>
      <c r="E338" s="25">
        <f>0.4/45*C338</f>
        <v>0.26666666666666666</v>
      </c>
      <c r="F338" s="25">
        <f>22.1/45*C338</f>
        <v>14.733333333333334</v>
      </c>
      <c r="G338" s="25">
        <f>105.8/45*C338</f>
        <v>70.533333333333331</v>
      </c>
    </row>
    <row r="339" spans="1:79" x14ac:dyDescent="0.25">
      <c r="A339" s="95"/>
      <c r="B339" s="101"/>
      <c r="C339" s="102"/>
      <c r="D339" s="103"/>
      <c r="E339" s="103"/>
      <c r="F339" s="103"/>
      <c r="G339" s="103"/>
    </row>
    <row r="340" spans="1:79" x14ac:dyDescent="0.25">
      <c r="A340" s="4"/>
      <c r="B340" s="71" t="s">
        <v>29</v>
      </c>
      <c r="C340" s="98">
        <f t="shared" ref="C340:G340" si="45">SUM(C332:C339)</f>
        <v>710</v>
      </c>
      <c r="D340" s="75">
        <f t="shared" si="45"/>
        <v>25.326666666666661</v>
      </c>
      <c r="E340" s="71">
        <f t="shared" si="45"/>
        <v>24.216666666666665</v>
      </c>
      <c r="F340" s="71">
        <f t="shared" si="45"/>
        <v>114.58333333333333</v>
      </c>
      <c r="G340" s="75">
        <f t="shared" si="45"/>
        <v>759.81833333333338</v>
      </c>
    </row>
    <row r="341" spans="1:79" x14ac:dyDescent="0.25">
      <c r="A341" s="298" t="s">
        <v>30</v>
      </c>
      <c r="B341" s="299"/>
      <c r="C341" s="299"/>
      <c r="D341" s="299"/>
      <c r="E341" s="299"/>
      <c r="F341" s="299"/>
      <c r="G341" s="299"/>
    </row>
    <row r="342" spans="1:79" s="78" customFormat="1" x14ac:dyDescent="0.25">
      <c r="A342" s="8" t="s">
        <v>183</v>
      </c>
      <c r="B342" s="32" t="s">
        <v>50</v>
      </c>
      <c r="C342" s="28">
        <v>150</v>
      </c>
      <c r="D342" s="56">
        <f>12.7/150*C342</f>
        <v>12.7</v>
      </c>
      <c r="E342" s="56">
        <f>18/150*C342</f>
        <v>18</v>
      </c>
      <c r="F342" s="56">
        <f>3.2/150*C342</f>
        <v>3.2000000000000006</v>
      </c>
      <c r="G342" s="139">
        <f>225.5/150*C342</f>
        <v>225.5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x14ac:dyDescent="0.25">
      <c r="A343" s="8" t="s">
        <v>140</v>
      </c>
      <c r="B343" s="32" t="s">
        <v>20</v>
      </c>
      <c r="C343" s="9">
        <v>200</v>
      </c>
      <c r="D343" s="10">
        <f>0.2/200*C343</f>
        <v>0.2</v>
      </c>
      <c r="E343" s="10">
        <v>0</v>
      </c>
      <c r="F343" s="10">
        <f>6.5/200*C343</f>
        <v>6.5</v>
      </c>
      <c r="G343" s="10">
        <f>26.8/200*C343</f>
        <v>26.8</v>
      </c>
    </row>
    <row r="344" spans="1:79" x14ac:dyDescent="0.25">
      <c r="A344" s="4"/>
      <c r="B344" s="4"/>
      <c r="C344" s="29"/>
      <c r="D344" s="30"/>
      <c r="E344" s="30"/>
      <c r="F344" s="30"/>
      <c r="G344" s="30"/>
    </row>
    <row r="345" spans="1:79" x14ac:dyDescent="0.25">
      <c r="A345" s="4"/>
      <c r="B345" s="28" t="s">
        <v>32</v>
      </c>
      <c r="C345" s="29">
        <f>SUM(C342:C343)</f>
        <v>350</v>
      </c>
      <c r="D345" s="30">
        <f>SUM(D342:D343)</f>
        <v>12.899999999999999</v>
      </c>
      <c r="E345" s="30">
        <f t="shared" ref="E345:G345" si="46">SUM(E342:E343)</f>
        <v>18</v>
      </c>
      <c r="F345" s="30">
        <f t="shared" si="46"/>
        <v>9.7000000000000011</v>
      </c>
      <c r="G345" s="30">
        <f t="shared" si="46"/>
        <v>252.3</v>
      </c>
    </row>
    <row r="346" spans="1:79" x14ac:dyDescent="0.25">
      <c r="A346" s="4"/>
      <c r="B346" s="28" t="s">
        <v>33</v>
      </c>
      <c r="C346" s="29">
        <f t="shared" ref="C346:G346" si="47">C345+C340+C330</f>
        <v>1565</v>
      </c>
      <c r="D346" s="30">
        <f t="shared" si="47"/>
        <v>55.812266666666659</v>
      </c>
      <c r="E346" s="29">
        <f t="shared" si="47"/>
        <v>58.416666666666671</v>
      </c>
      <c r="F346" s="29">
        <f t="shared" si="47"/>
        <v>195.10573333333335</v>
      </c>
      <c r="G346" s="30">
        <f t="shared" si="47"/>
        <v>1556.4463333333333</v>
      </c>
    </row>
    <row r="347" spans="1:79" x14ac:dyDescent="0.25">
      <c r="A347" s="293" t="s">
        <v>16</v>
      </c>
      <c r="B347" s="294"/>
      <c r="C347" s="294"/>
      <c r="D347" s="294"/>
      <c r="E347" s="294"/>
      <c r="F347" s="294"/>
      <c r="G347" s="294"/>
    </row>
    <row r="348" spans="1:79" x14ac:dyDescent="0.25">
      <c r="A348" s="293" t="s">
        <v>94</v>
      </c>
      <c r="B348" s="294"/>
      <c r="C348" s="294"/>
      <c r="D348" s="294"/>
      <c r="E348" s="294"/>
      <c r="F348" s="294"/>
      <c r="G348" s="294"/>
    </row>
    <row r="349" spans="1:79" x14ac:dyDescent="0.25">
      <c r="A349" s="285" t="s">
        <v>18</v>
      </c>
      <c r="B349" s="286"/>
      <c r="C349" s="286"/>
      <c r="D349" s="286"/>
      <c r="E349" s="286"/>
      <c r="F349" s="286"/>
      <c r="G349" s="286"/>
    </row>
    <row r="350" spans="1:79" x14ac:dyDescent="0.25">
      <c r="A350" s="287" t="s">
        <v>19</v>
      </c>
      <c r="B350" s="296"/>
      <c r="C350" s="296"/>
      <c r="D350" s="296"/>
      <c r="E350" s="296"/>
      <c r="F350" s="296"/>
      <c r="G350" s="296"/>
    </row>
    <row r="351" spans="1:79" ht="18.75" customHeight="1" x14ac:dyDescent="0.25">
      <c r="A351" s="8" t="s">
        <v>141</v>
      </c>
      <c r="B351" s="240" t="s">
        <v>184</v>
      </c>
      <c r="C351" s="16">
        <v>250</v>
      </c>
      <c r="D351" s="11">
        <f>6.8/200*C351</f>
        <v>8.5</v>
      </c>
      <c r="E351" s="11">
        <f>5.8/200*C351</f>
        <v>7.2499999999999991</v>
      </c>
      <c r="F351" s="11">
        <v>35.119999999999997</v>
      </c>
      <c r="G351" s="11">
        <f>208.3/200*C351</f>
        <v>260.375</v>
      </c>
    </row>
    <row r="352" spans="1:79" x14ac:dyDescent="0.25">
      <c r="A352" s="8" t="s">
        <v>123</v>
      </c>
      <c r="B352" s="32" t="s">
        <v>122</v>
      </c>
      <c r="C352" s="9">
        <v>200</v>
      </c>
      <c r="D352" s="10">
        <f>1.6/200*C352</f>
        <v>1.6</v>
      </c>
      <c r="E352" s="10">
        <f>1.1/200*C352</f>
        <v>1.1000000000000001</v>
      </c>
      <c r="F352" s="10">
        <f>8.7/200*C352</f>
        <v>8.6999999999999993</v>
      </c>
      <c r="G352" s="10">
        <f>50.9/200*C352</f>
        <v>50.9</v>
      </c>
    </row>
    <row r="353" spans="1:7" x14ac:dyDescent="0.25">
      <c r="A353" s="4" t="s">
        <v>191</v>
      </c>
      <c r="B353" s="35" t="s">
        <v>21</v>
      </c>
      <c r="C353" s="6">
        <v>10</v>
      </c>
      <c r="D353" s="61">
        <v>1</v>
      </c>
      <c r="E353" s="61">
        <v>9</v>
      </c>
      <c r="F353" s="61">
        <v>5.2</v>
      </c>
      <c r="G353" s="61">
        <f>1/10*C353</f>
        <v>1</v>
      </c>
    </row>
    <row r="354" spans="1:7" x14ac:dyDescent="0.25">
      <c r="A354" s="14" t="s">
        <v>124</v>
      </c>
      <c r="B354" s="35" t="s">
        <v>23</v>
      </c>
      <c r="C354" s="6">
        <v>25</v>
      </c>
      <c r="D354" s="10">
        <f>1.5/25*C354</f>
        <v>1.5</v>
      </c>
      <c r="E354" s="10">
        <f>0.5/25*C354</f>
        <v>0.5</v>
      </c>
      <c r="F354" s="10">
        <f>10.2/25*C354</f>
        <v>10.199999999999999</v>
      </c>
      <c r="G354" s="10">
        <f>52/25*C354</f>
        <v>52</v>
      </c>
    </row>
    <row r="355" spans="1:7" x14ac:dyDescent="0.25">
      <c r="A355" s="15" t="s">
        <v>124</v>
      </c>
      <c r="B355" s="32" t="s">
        <v>24</v>
      </c>
      <c r="C355" s="16">
        <v>45</v>
      </c>
      <c r="D355" s="25">
        <f>3.4/45*C355</f>
        <v>3.4</v>
      </c>
      <c r="E355" s="25">
        <f>0.4/45*C355</f>
        <v>0.4</v>
      </c>
      <c r="F355" s="25">
        <f>22.1/45*C355</f>
        <v>22.1</v>
      </c>
      <c r="G355" s="25">
        <f>105.8/45*C355</f>
        <v>105.8</v>
      </c>
    </row>
    <row r="356" spans="1:7" x14ac:dyDescent="0.25">
      <c r="A356" s="15"/>
      <c r="B356" s="4"/>
      <c r="C356" s="16"/>
      <c r="D356" s="11"/>
      <c r="E356" s="11"/>
      <c r="F356" s="11"/>
      <c r="G356" s="11"/>
    </row>
    <row r="357" spans="1:7" x14ac:dyDescent="0.25">
      <c r="A357" s="17"/>
      <c r="B357" s="6" t="s">
        <v>25</v>
      </c>
      <c r="C357" s="17">
        <f t="shared" ref="C357:G357" si="48">SUM(C351:C355)</f>
        <v>530</v>
      </c>
      <c r="D357" s="82">
        <f t="shared" si="48"/>
        <v>16</v>
      </c>
      <c r="E357" s="82">
        <f t="shared" si="48"/>
        <v>18.25</v>
      </c>
      <c r="F357" s="82">
        <f t="shared" si="48"/>
        <v>81.319999999999993</v>
      </c>
      <c r="G357" s="82">
        <f t="shared" si="48"/>
        <v>470.07499999999999</v>
      </c>
    </row>
    <row r="358" spans="1:7" x14ac:dyDescent="0.25">
      <c r="A358" s="289" t="s">
        <v>26</v>
      </c>
      <c r="B358" s="297"/>
      <c r="C358" s="297"/>
      <c r="D358" s="297"/>
      <c r="E358" s="297"/>
      <c r="F358" s="297"/>
      <c r="G358" s="297"/>
    </row>
    <row r="359" spans="1:7" x14ac:dyDescent="0.25">
      <c r="A359" s="8" t="s">
        <v>144</v>
      </c>
      <c r="B359" s="5" t="s">
        <v>81</v>
      </c>
      <c r="C359" s="90">
        <v>60</v>
      </c>
      <c r="D359" s="25">
        <f>0.8/60*C359</f>
        <v>0.8</v>
      </c>
      <c r="E359" s="25">
        <f>2.7/60*C359</f>
        <v>2.7</v>
      </c>
      <c r="F359" s="25">
        <f>4.6/60*C359</f>
        <v>4.5999999999999996</v>
      </c>
      <c r="G359" s="25">
        <f>45.6/60*C359</f>
        <v>45.6</v>
      </c>
    </row>
    <row r="360" spans="1:7" x14ac:dyDescent="0.25">
      <c r="A360" s="19">
        <v>63</v>
      </c>
      <c r="B360" s="243" t="s">
        <v>104</v>
      </c>
      <c r="C360" s="122">
        <v>150</v>
      </c>
      <c r="D360" s="42">
        <v>1.45</v>
      </c>
      <c r="E360" s="42">
        <f>3.2/200*C360</f>
        <v>2.4</v>
      </c>
      <c r="F360" s="42">
        <f>9.8/200*C360</f>
        <v>7.3500000000000005</v>
      </c>
      <c r="G360" s="42">
        <f>86/200*C360</f>
        <v>64.5</v>
      </c>
    </row>
    <row r="361" spans="1:7" x14ac:dyDescent="0.25">
      <c r="A361" s="8" t="s">
        <v>153</v>
      </c>
      <c r="B361" s="113" t="s">
        <v>40</v>
      </c>
      <c r="C361" s="104">
        <v>150</v>
      </c>
      <c r="D361" s="62">
        <f>3.1/150*C361</f>
        <v>3.1</v>
      </c>
      <c r="E361" s="62">
        <f>5.3/150*C361</f>
        <v>5.3</v>
      </c>
      <c r="F361" s="62">
        <v>19.8</v>
      </c>
      <c r="G361" s="21">
        <f>139.4/150*C361</f>
        <v>139.4</v>
      </c>
    </row>
    <row r="362" spans="1:7" x14ac:dyDescent="0.25">
      <c r="A362" s="19" t="s">
        <v>154</v>
      </c>
      <c r="B362" s="32" t="s">
        <v>61</v>
      </c>
      <c r="C362" s="20">
        <v>90</v>
      </c>
      <c r="D362" s="21">
        <f>12.9/100*C362</f>
        <v>11.61</v>
      </c>
      <c r="E362" s="21">
        <f>4/100*C362</f>
        <v>3.6</v>
      </c>
      <c r="F362" s="21">
        <f>6.1/100*C362</f>
        <v>5.49</v>
      </c>
      <c r="G362" s="21">
        <f>112.2/100*C362</f>
        <v>100.98</v>
      </c>
    </row>
    <row r="363" spans="1:7" x14ac:dyDescent="0.25">
      <c r="A363" s="131" t="s">
        <v>131</v>
      </c>
      <c r="B363" s="97" t="s">
        <v>41</v>
      </c>
      <c r="C363" s="41">
        <v>50</v>
      </c>
      <c r="D363" s="42">
        <f>0.54/30*C363</f>
        <v>0.90000000000000013</v>
      </c>
      <c r="E363" s="42">
        <f>3.67/30*C363</f>
        <v>6.1166666666666671</v>
      </c>
      <c r="F363" s="42">
        <f>5.24/30*C363</f>
        <v>8.7333333333333325</v>
      </c>
      <c r="G363" s="42">
        <f>56.16/30*C363</f>
        <v>93.6</v>
      </c>
    </row>
    <row r="364" spans="1:7" x14ac:dyDescent="0.25">
      <c r="A364" s="196">
        <v>254</v>
      </c>
      <c r="B364" s="97" t="s">
        <v>77</v>
      </c>
      <c r="C364" s="9">
        <v>200</v>
      </c>
      <c r="D364" s="10">
        <v>1.8</v>
      </c>
      <c r="E364" s="10">
        <f>2.9/200*C364</f>
        <v>2.9</v>
      </c>
      <c r="F364" s="10">
        <v>22.3</v>
      </c>
      <c r="G364" s="10">
        <f>86/200*C364</f>
        <v>86</v>
      </c>
    </row>
    <row r="365" spans="1:7" x14ac:dyDescent="0.25">
      <c r="A365" s="95" t="s">
        <v>124</v>
      </c>
      <c r="B365" s="35" t="s">
        <v>23</v>
      </c>
      <c r="C365" s="6">
        <v>60</v>
      </c>
      <c r="D365" s="10">
        <f>1.5/25*C365</f>
        <v>3.5999999999999996</v>
      </c>
      <c r="E365" s="10">
        <f>0.5/25*C365</f>
        <v>1.2</v>
      </c>
      <c r="F365" s="10">
        <f>10.2/25*C365</f>
        <v>24.479999999999997</v>
      </c>
      <c r="G365" s="10">
        <f>52/25*C365</f>
        <v>124.80000000000001</v>
      </c>
    </row>
    <row r="366" spans="1:7" x14ac:dyDescent="0.25">
      <c r="A366" s="95" t="s">
        <v>124</v>
      </c>
      <c r="B366" s="32" t="s">
        <v>24</v>
      </c>
      <c r="C366" s="16">
        <v>30</v>
      </c>
      <c r="D366" s="25">
        <f>3.4/45*C366</f>
        <v>2.2666666666666666</v>
      </c>
      <c r="E366" s="25">
        <f>0.4/45*C366</f>
        <v>0.26666666666666666</v>
      </c>
      <c r="F366" s="25">
        <f>22.1/45*C366</f>
        <v>14.733333333333334</v>
      </c>
      <c r="G366" s="25">
        <f>105.8/45*C366</f>
        <v>70.533333333333331</v>
      </c>
    </row>
    <row r="367" spans="1:7" x14ac:dyDescent="0.25">
      <c r="A367" s="95"/>
      <c r="B367" s="211"/>
      <c r="C367" s="212"/>
      <c r="D367" s="103"/>
      <c r="E367" s="103"/>
      <c r="F367" s="103"/>
      <c r="G367" s="103"/>
    </row>
    <row r="368" spans="1:7" x14ac:dyDescent="0.25">
      <c r="A368" s="4"/>
      <c r="B368" s="71" t="s">
        <v>29</v>
      </c>
      <c r="C368" s="98">
        <f t="shared" ref="C368:G368" si="49">SUM(C359:C366)</f>
        <v>790</v>
      </c>
      <c r="D368" s="75">
        <f t="shared" si="49"/>
        <v>25.526666666666664</v>
      </c>
      <c r="E368" s="71">
        <f t="shared" si="49"/>
        <v>24.483333333333331</v>
      </c>
      <c r="F368" s="71">
        <f t="shared" si="49"/>
        <v>107.48666666666666</v>
      </c>
      <c r="G368" s="75">
        <f t="shared" si="49"/>
        <v>725.41333333333341</v>
      </c>
    </row>
    <row r="369" spans="1:79" x14ac:dyDescent="0.25">
      <c r="A369" s="298" t="s">
        <v>30</v>
      </c>
      <c r="B369" s="299"/>
      <c r="C369" s="299"/>
      <c r="D369" s="299"/>
      <c r="E369" s="299"/>
      <c r="F369" s="299"/>
      <c r="G369" s="299"/>
    </row>
    <row r="370" spans="1:79" x14ac:dyDescent="0.25">
      <c r="A370" s="4">
        <v>59</v>
      </c>
      <c r="B370" s="32" t="s">
        <v>31</v>
      </c>
      <c r="C370" s="29">
        <v>100</v>
      </c>
      <c r="D370" s="33">
        <f>4.8/60*C370</f>
        <v>8</v>
      </c>
      <c r="E370" s="33">
        <v>8.33</v>
      </c>
      <c r="F370" s="33">
        <v>33.86</v>
      </c>
      <c r="G370" s="33">
        <v>255.6</v>
      </c>
    </row>
    <row r="371" spans="1:79" x14ac:dyDescent="0.25">
      <c r="A371" s="8">
        <v>233</v>
      </c>
      <c r="B371" s="5" t="s">
        <v>99</v>
      </c>
      <c r="C371" s="26">
        <v>200</v>
      </c>
      <c r="D371" s="61">
        <f>0.2/200*C371</f>
        <v>0.2</v>
      </c>
      <c r="E371" s="61">
        <v>0.3</v>
      </c>
      <c r="F371" s="61">
        <f>12.3/200*C371</f>
        <v>12.3</v>
      </c>
      <c r="G371" s="133">
        <f>50.5/200*C371</f>
        <v>50.5</v>
      </c>
    </row>
    <row r="372" spans="1:79" x14ac:dyDescent="0.25">
      <c r="A372" s="4"/>
      <c r="B372" s="4"/>
      <c r="C372" s="29"/>
      <c r="D372" s="30"/>
      <c r="E372" s="30"/>
      <c r="F372" s="30"/>
      <c r="G372" s="30"/>
    </row>
    <row r="373" spans="1:79" x14ac:dyDescent="0.25">
      <c r="A373" s="4"/>
      <c r="B373" s="28" t="s">
        <v>32</v>
      </c>
      <c r="C373" s="29">
        <f>SUM(C370:C371)</f>
        <v>300</v>
      </c>
      <c r="D373" s="30">
        <f>SUM(D370:D371)</f>
        <v>8.1999999999999993</v>
      </c>
      <c r="E373" s="30">
        <f t="shared" ref="E373:G373" si="50">SUM(E370:E371)</f>
        <v>8.6300000000000008</v>
      </c>
      <c r="F373" s="30">
        <f t="shared" si="50"/>
        <v>46.16</v>
      </c>
      <c r="G373" s="30">
        <f t="shared" si="50"/>
        <v>306.10000000000002</v>
      </c>
    </row>
    <row r="374" spans="1:79" x14ac:dyDescent="0.25">
      <c r="A374" s="4"/>
      <c r="B374" s="28" t="s">
        <v>33</v>
      </c>
      <c r="C374" s="29">
        <f t="shared" ref="C374:G374" si="51">C373+C368+C357</f>
        <v>1620</v>
      </c>
      <c r="D374" s="30">
        <f t="shared" si="51"/>
        <v>49.726666666666659</v>
      </c>
      <c r="E374" s="29">
        <f t="shared" si="51"/>
        <v>51.36333333333333</v>
      </c>
      <c r="F374" s="29">
        <f t="shared" si="51"/>
        <v>234.96666666666664</v>
      </c>
      <c r="G374" s="30">
        <f t="shared" si="51"/>
        <v>1501.5883333333334</v>
      </c>
    </row>
    <row r="375" spans="1:79" x14ac:dyDescent="0.25">
      <c r="A375" s="293" t="s">
        <v>16</v>
      </c>
      <c r="B375" s="294"/>
      <c r="C375" s="294"/>
      <c r="D375" s="294"/>
      <c r="E375" s="294"/>
      <c r="F375" s="294"/>
      <c r="G375" s="294"/>
    </row>
    <row r="376" spans="1:79" x14ac:dyDescent="0.25">
      <c r="A376" s="293" t="s">
        <v>95</v>
      </c>
      <c r="B376" s="294"/>
      <c r="C376" s="294"/>
      <c r="D376" s="294"/>
      <c r="E376" s="294"/>
      <c r="F376" s="294"/>
      <c r="G376" s="294"/>
    </row>
    <row r="377" spans="1:79" x14ac:dyDescent="0.25">
      <c r="A377" s="285" t="s">
        <v>18</v>
      </c>
      <c r="B377" s="286"/>
      <c r="C377" s="286"/>
      <c r="D377" s="286"/>
      <c r="E377" s="286"/>
      <c r="F377" s="286"/>
      <c r="G377" s="286"/>
    </row>
    <row r="378" spans="1:79" x14ac:dyDescent="0.25">
      <c r="A378" s="287" t="s">
        <v>19</v>
      </c>
      <c r="B378" s="296"/>
      <c r="C378" s="296"/>
      <c r="D378" s="296"/>
      <c r="E378" s="296"/>
      <c r="F378" s="296"/>
      <c r="G378" s="296"/>
    </row>
    <row r="379" spans="1:79" s="81" customFormat="1" x14ac:dyDescent="0.25">
      <c r="A379" s="8">
        <v>98</v>
      </c>
      <c r="B379" s="5" t="s">
        <v>89</v>
      </c>
      <c r="C379" s="26">
        <v>250</v>
      </c>
      <c r="D379" s="21">
        <f>3.6/200*C379</f>
        <v>4.5000000000000009</v>
      </c>
      <c r="E379" s="21">
        <v>10.8</v>
      </c>
      <c r="F379" s="21">
        <f>21.8/200*C379</f>
        <v>27.25</v>
      </c>
      <c r="G379" s="21">
        <v>169.2</v>
      </c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  <c r="AA379" s="188"/>
      <c r="AB379" s="188"/>
      <c r="AC379" s="188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  <c r="AR379" s="188"/>
      <c r="AS379" s="188"/>
      <c r="AT379" s="188"/>
      <c r="AU379" s="188"/>
      <c r="AV379" s="188"/>
      <c r="AW379" s="188"/>
      <c r="AX379" s="188"/>
      <c r="AY379" s="188"/>
      <c r="AZ379" s="188"/>
      <c r="BA379" s="188"/>
      <c r="BB379" s="188"/>
      <c r="BC379" s="188"/>
      <c r="BD379" s="188"/>
      <c r="BE379" s="188"/>
      <c r="BF379" s="188"/>
      <c r="BG379" s="188"/>
      <c r="BH379" s="188"/>
      <c r="BI379" s="188"/>
      <c r="BJ379" s="188"/>
      <c r="BK379" s="188"/>
      <c r="BL379" s="188"/>
      <c r="BM379" s="188"/>
      <c r="BN379" s="188"/>
      <c r="BO379" s="188"/>
      <c r="BP379" s="188"/>
      <c r="BQ379" s="188"/>
      <c r="BR379" s="188"/>
      <c r="BS379" s="188"/>
      <c r="BT379" s="188"/>
      <c r="BU379" s="188"/>
      <c r="BV379" s="188"/>
      <c r="BW379" s="188"/>
      <c r="BX379" s="188"/>
      <c r="BY379" s="188"/>
      <c r="BZ379" s="188"/>
      <c r="CA379" s="188"/>
    </row>
    <row r="380" spans="1:79" x14ac:dyDescent="0.25">
      <c r="A380" s="8" t="s">
        <v>134</v>
      </c>
      <c r="B380" s="32" t="s">
        <v>44</v>
      </c>
      <c r="C380" s="9">
        <v>200</v>
      </c>
      <c r="D380" s="10">
        <f>4.6/200*C380</f>
        <v>4.5999999999999996</v>
      </c>
      <c r="E380" s="10">
        <f>3.6/200*C380</f>
        <v>3.6000000000000005</v>
      </c>
      <c r="F380" s="10">
        <f>12.6/200*C380</f>
        <v>12.6</v>
      </c>
      <c r="G380" s="10">
        <f>100.4/200*C380</f>
        <v>100.4</v>
      </c>
    </row>
    <row r="381" spans="1:79" x14ac:dyDescent="0.25">
      <c r="A381" s="14" t="s">
        <v>135</v>
      </c>
      <c r="B381" s="35" t="s">
        <v>22</v>
      </c>
      <c r="C381" s="6">
        <v>15</v>
      </c>
      <c r="D381" s="7">
        <f>3.5/15*C381</f>
        <v>3.5</v>
      </c>
      <c r="E381" s="7">
        <f>4.4/15*C381</f>
        <v>4.4000000000000004</v>
      </c>
      <c r="F381" s="7">
        <v>0</v>
      </c>
      <c r="G381" s="7">
        <f>53.7/15*C381</f>
        <v>53.7</v>
      </c>
    </row>
    <row r="382" spans="1:79" x14ac:dyDescent="0.25">
      <c r="A382" s="14" t="s">
        <v>124</v>
      </c>
      <c r="B382" s="35" t="s">
        <v>23</v>
      </c>
      <c r="C382" s="6">
        <v>25</v>
      </c>
      <c r="D382" s="10">
        <f>1.5/25*C382</f>
        <v>1.5</v>
      </c>
      <c r="E382" s="10">
        <f>0.5/25*C382</f>
        <v>0.5</v>
      </c>
      <c r="F382" s="10">
        <f>10.2/25*C382</f>
        <v>10.199999999999999</v>
      </c>
      <c r="G382" s="10">
        <f>52/25*C382</f>
        <v>52</v>
      </c>
    </row>
    <row r="383" spans="1:79" x14ac:dyDescent="0.25">
      <c r="A383" s="14" t="s">
        <v>124</v>
      </c>
      <c r="B383" s="32" t="s">
        <v>24</v>
      </c>
      <c r="C383" s="16">
        <v>45</v>
      </c>
      <c r="D383" s="25">
        <f>3.4/45*C383</f>
        <v>3.4</v>
      </c>
      <c r="E383" s="25">
        <f>0.4/45*C383</f>
        <v>0.4</v>
      </c>
      <c r="F383" s="25">
        <f>22.1/45*C383</f>
        <v>22.1</v>
      </c>
      <c r="G383" s="25">
        <f>105.8/45*C383</f>
        <v>105.8</v>
      </c>
    </row>
    <row r="384" spans="1:79" x14ac:dyDescent="0.25">
      <c r="A384" s="15"/>
      <c r="B384" s="4"/>
      <c r="C384" s="16"/>
      <c r="D384" s="11"/>
      <c r="E384" s="11"/>
      <c r="F384" s="11"/>
      <c r="G384" s="11"/>
    </row>
    <row r="385" spans="1:79" x14ac:dyDescent="0.25">
      <c r="A385" s="17"/>
      <c r="B385" s="6" t="s">
        <v>25</v>
      </c>
      <c r="C385" s="17">
        <f t="shared" ref="C385:G385" si="52">SUM(C379:C383)</f>
        <v>535</v>
      </c>
      <c r="D385" s="82">
        <f t="shared" si="52"/>
        <v>17.5</v>
      </c>
      <c r="E385" s="82">
        <f t="shared" si="52"/>
        <v>19.700000000000003</v>
      </c>
      <c r="F385" s="82">
        <f t="shared" si="52"/>
        <v>72.150000000000006</v>
      </c>
      <c r="G385" s="82">
        <f t="shared" si="52"/>
        <v>481.1</v>
      </c>
    </row>
    <row r="386" spans="1:79" x14ac:dyDescent="0.25">
      <c r="A386" s="289" t="s">
        <v>26</v>
      </c>
      <c r="B386" s="297"/>
      <c r="C386" s="297"/>
      <c r="D386" s="297"/>
      <c r="E386" s="297"/>
      <c r="F386" s="297"/>
      <c r="G386" s="297"/>
    </row>
    <row r="387" spans="1:79" x14ac:dyDescent="0.25">
      <c r="A387" s="8" t="s">
        <v>127</v>
      </c>
      <c r="B387" s="32" t="s">
        <v>75</v>
      </c>
      <c r="C387" s="28">
        <v>50</v>
      </c>
      <c r="D387" s="56">
        <f>0.7/60*C387</f>
        <v>0.58333333333333326</v>
      </c>
      <c r="E387" s="21">
        <f>0.1/60*C387</f>
        <v>8.3333333333333343E-2</v>
      </c>
      <c r="F387" s="21">
        <f>2.3/60*C387</f>
        <v>1.9166666666666665</v>
      </c>
      <c r="G387" s="21">
        <f>12.8/60*C387</f>
        <v>10.666666666666668</v>
      </c>
    </row>
    <row r="388" spans="1:79" x14ac:dyDescent="0.25">
      <c r="A388" s="8" t="s">
        <v>151</v>
      </c>
      <c r="B388" s="97" t="s">
        <v>38</v>
      </c>
      <c r="C388" s="59">
        <v>200</v>
      </c>
      <c r="D388" s="135">
        <f>5.1/200*C388</f>
        <v>5.0999999999999996</v>
      </c>
      <c r="E388" s="135">
        <f>5.8/200*C388</f>
        <v>5.8</v>
      </c>
      <c r="F388" s="135">
        <f>10.8/200*C388</f>
        <v>10.8</v>
      </c>
      <c r="G388" s="136">
        <f>115.6/200*C388</f>
        <v>115.6</v>
      </c>
    </row>
    <row r="389" spans="1:79" x14ac:dyDescent="0.25">
      <c r="A389" s="8" t="s">
        <v>192</v>
      </c>
      <c r="B389" s="5" t="s">
        <v>85</v>
      </c>
      <c r="C389" s="90">
        <v>150</v>
      </c>
      <c r="D389" s="61">
        <f>5.9/200*C389</f>
        <v>4.4250000000000007</v>
      </c>
      <c r="E389" s="61">
        <f>7/200*C389</f>
        <v>5.2500000000000009</v>
      </c>
      <c r="F389" s="61">
        <f>40.6/200*C389</f>
        <v>30.450000000000003</v>
      </c>
      <c r="G389" s="25">
        <f>249.5/200*C389</f>
        <v>187.125</v>
      </c>
    </row>
    <row r="390" spans="1:79" s="81" customFormat="1" x14ac:dyDescent="0.25">
      <c r="A390" s="23" t="s">
        <v>185</v>
      </c>
      <c r="B390" s="5" t="s">
        <v>45</v>
      </c>
      <c r="C390" s="26">
        <v>80</v>
      </c>
      <c r="D390" s="21">
        <v>9.5</v>
      </c>
      <c r="E390" s="21">
        <f>13.1/80*C390</f>
        <v>13.100000000000001</v>
      </c>
      <c r="F390" s="21">
        <f>3.2/80*C390</f>
        <v>3.2</v>
      </c>
      <c r="G390" s="21">
        <f>185.6/80*C390</f>
        <v>185.6</v>
      </c>
    </row>
    <row r="391" spans="1:79" s="132" customFormat="1" x14ac:dyDescent="0.25">
      <c r="A391" s="4">
        <v>267</v>
      </c>
      <c r="B391" s="36" t="s">
        <v>83</v>
      </c>
      <c r="C391" s="90">
        <v>200</v>
      </c>
      <c r="D391" s="61">
        <f>0.6/200*C391</f>
        <v>0.6</v>
      </c>
      <c r="E391" s="61">
        <f>0.28/200*C391</f>
        <v>0.28000000000000003</v>
      </c>
      <c r="F391" s="61">
        <f>15.2/200*C391</f>
        <v>15.2</v>
      </c>
      <c r="G391" s="133">
        <f>65.3/200*C391</f>
        <v>65.3</v>
      </c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188"/>
      <c r="BN391" s="188"/>
      <c r="BO391" s="188"/>
      <c r="BP391" s="188"/>
      <c r="BQ391" s="188"/>
      <c r="BR391" s="188"/>
      <c r="BS391" s="188"/>
      <c r="BT391" s="188"/>
      <c r="BU391" s="188"/>
      <c r="BV391" s="188"/>
      <c r="BW391" s="188"/>
      <c r="BX391" s="188"/>
      <c r="BY391" s="188"/>
      <c r="BZ391" s="188"/>
      <c r="CA391" s="188"/>
    </row>
    <row r="392" spans="1:79" x14ac:dyDescent="0.25">
      <c r="A392" s="95" t="s">
        <v>124</v>
      </c>
      <c r="B392" s="35" t="s">
        <v>23</v>
      </c>
      <c r="C392" s="6">
        <v>60</v>
      </c>
      <c r="D392" s="10">
        <f>1.5/25*C392</f>
        <v>3.5999999999999996</v>
      </c>
      <c r="E392" s="10">
        <f>0.5/25*C392</f>
        <v>1.2</v>
      </c>
      <c r="F392" s="10">
        <f>10.2/25*C392</f>
        <v>24.479999999999997</v>
      </c>
      <c r="G392" s="10">
        <f>52/25*C392</f>
        <v>124.80000000000001</v>
      </c>
    </row>
    <row r="393" spans="1:79" x14ac:dyDescent="0.25">
      <c r="A393" s="95" t="s">
        <v>124</v>
      </c>
      <c r="B393" s="32" t="s">
        <v>24</v>
      </c>
      <c r="C393" s="16">
        <v>30</v>
      </c>
      <c r="D393" s="25">
        <f>3.4/45*C393</f>
        <v>2.2666666666666666</v>
      </c>
      <c r="E393" s="25">
        <f>0.4/45*C393</f>
        <v>0.26666666666666666</v>
      </c>
      <c r="F393" s="25">
        <f>22.1/45*C393</f>
        <v>14.733333333333334</v>
      </c>
      <c r="G393" s="25">
        <f>105.8/45*C393</f>
        <v>70.533333333333331</v>
      </c>
    </row>
    <row r="394" spans="1:79" x14ac:dyDescent="0.25">
      <c r="A394" s="95"/>
      <c r="B394" s="211"/>
      <c r="C394" s="212"/>
      <c r="D394" s="103"/>
      <c r="E394" s="103"/>
      <c r="F394" s="103"/>
      <c r="G394" s="103"/>
    </row>
    <row r="395" spans="1:79" x14ac:dyDescent="0.25">
      <c r="A395" s="4"/>
      <c r="B395" s="71" t="s">
        <v>29</v>
      </c>
      <c r="C395" s="98">
        <f t="shared" ref="C395:G395" si="53">SUM(C387:C393)</f>
        <v>770</v>
      </c>
      <c r="D395" s="75">
        <f t="shared" si="53"/>
        <v>26.075000000000003</v>
      </c>
      <c r="E395" s="71">
        <f t="shared" si="53"/>
        <v>25.98</v>
      </c>
      <c r="F395" s="71">
        <f t="shared" si="53"/>
        <v>100.78000000000002</v>
      </c>
      <c r="G395" s="75">
        <f t="shared" si="53"/>
        <v>759.625</v>
      </c>
    </row>
    <row r="396" spans="1:79" x14ac:dyDescent="0.25">
      <c r="A396" s="298" t="s">
        <v>30</v>
      </c>
      <c r="B396" s="299"/>
      <c r="C396" s="299"/>
      <c r="D396" s="299"/>
      <c r="E396" s="299"/>
      <c r="F396" s="299"/>
      <c r="G396" s="299"/>
    </row>
    <row r="397" spans="1:79" x14ac:dyDescent="0.25">
      <c r="A397" s="8">
        <v>283</v>
      </c>
      <c r="B397" s="32" t="s">
        <v>96</v>
      </c>
      <c r="C397" s="90">
        <v>100</v>
      </c>
      <c r="D397" s="25">
        <v>10.7</v>
      </c>
      <c r="E397" s="25">
        <f>6.9/60*C397</f>
        <v>11.5</v>
      </c>
      <c r="F397" s="25">
        <f>22.56/60*C397</f>
        <v>37.6</v>
      </c>
      <c r="G397" s="86">
        <f>157.5/60*C397</f>
        <v>262.5</v>
      </c>
    </row>
    <row r="398" spans="1:79" x14ac:dyDescent="0.25">
      <c r="A398" s="8" t="s">
        <v>140</v>
      </c>
      <c r="B398" s="32" t="s">
        <v>20</v>
      </c>
      <c r="C398" s="9">
        <v>200</v>
      </c>
      <c r="D398" s="10">
        <f>0.2/200*C398</f>
        <v>0.2</v>
      </c>
      <c r="E398" s="10">
        <v>0</v>
      </c>
      <c r="F398" s="10">
        <f>6.5/200*C398</f>
        <v>6.5</v>
      </c>
      <c r="G398" s="10">
        <f>26.8/200*C398</f>
        <v>26.8</v>
      </c>
    </row>
    <row r="399" spans="1:79" x14ac:dyDescent="0.25">
      <c r="A399" s="4"/>
      <c r="B399" s="4"/>
      <c r="C399" s="29"/>
      <c r="D399" s="30"/>
      <c r="E399" s="30"/>
      <c r="F399" s="30"/>
      <c r="G399" s="30"/>
    </row>
    <row r="400" spans="1:79" x14ac:dyDescent="0.25">
      <c r="A400" s="4"/>
      <c r="B400" s="28" t="s">
        <v>32</v>
      </c>
      <c r="C400" s="29">
        <f>SUM(C397:C398)</f>
        <v>300</v>
      </c>
      <c r="D400" s="30">
        <f>SUM(D397:D398)</f>
        <v>10.899999999999999</v>
      </c>
      <c r="E400" s="30">
        <f t="shared" ref="E400:G400" si="54">SUM(E397:E398)</f>
        <v>11.5</v>
      </c>
      <c r="F400" s="30">
        <f t="shared" si="54"/>
        <v>44.1</v>
      </c>
      <c r="G400" s="30">
        <f t="shared" si="54"/>
        <v>289.3</v>
      </c>
    </row>
    <row r="401" spans="1:7" x14ac:dyDescent="0.25">
      <c r="A401" s="4"/>
      <c r="B401" s="28" t="s">
        <v>33</v>
      </c>
      <c r="C401" s="29">
        <f t="shared" ref="C401:G401" si="55">C400+C395+C385</f>
        <v>1605</v>
      </c>
      <c r="D401" s="29">
        <f t="shared" si="55"/>
        <v>54.475000000000001</v>
      </c>
      <c r="E401" s="29">
        <f t="shared" si="55"/>
        <v>57.180000000000007</v>
      </c>
      <c r="F401" s="29">
        <f t="shared" si="55"/>
        <v>217.03000000000003</v>
      </c>
      <c r="G401" s="30">
        <f t="shared" si="55"/>
        <v>1530.0250000000001</v>
      </c>
    </row>
    <row r="402" spans="1:7" x14ac:dyDescent="0.25">
      <c r="A402" s="293" t="s">
        <v>16</v>
      </c>
      <c r="B402" s="294"/>
      <c r="C402" s="294"/>
      <c r="D402" s="294"/>
      <c r="E402" s="294"/>
      <c r="F402" s="294"/>
      <c r="G402" s="294"/>
    </row>
    <row r="403" spans="1:7" x14ac:dyDescent="0.25">
      <c r="A403" s="293" t="s">
        <v>97</v>
      </c>
      <c r="B403" s="294"/>
      <c r="C403" s="294"/>
      <c r="D403" s="294"/>
      <c r="E403" s="294"/>
      <c r="F403" s="294"/>
      <c r="G403" s="294"/>
    </row>
    <row r="404" spans="1:7" x14ac:dyDescent="0.25">
      <c r="A404" s="285" t="s">
        <v>18</v>
      </c>
      <c r="B404" s="286"/>
      <c r="C404" s="286"/>
      <c r="D404" s="286"/>
      <c r="E404" s="286"/>
      <c r="F404" s="286"/>
      <c r="G404" s="286"/>
    </row>
    <row r="405" spans="1:7" x14ac:dyDescent="0.25">
      <c r="A405" s="287" t="s">
        <v>19</v>
      </c>
      <c r="B405" s="296"/>
      <c r="C405" s="296"/>
      <c r="D405" s="296"/>
      <c r="E405" s="296"/>
      <c r="F405" s="296"/>
      <c r="G405" s="296"/>
    </row>
    <row r="406" spans="1:7" x14ac:dyDescent="0.25">
      <c r="A406" s="8" t="s">
        <v>164</v>
      </c>
      <c r="B406" s="32" t="s">
        <v>186</v>
      </c>
      <c r="C406" s="24">
        <v>250</v>
      </c>
      <c r="D406" s="10">
        <f>7.3/200*C406</f>
        <v>9.125</v>
      </c>
      <c r="E406" s="10">
        <v>15.6</v>
      </c>
      <c r="F406" s="10">
        <v>32.6</v>
      </c>
      <c r="G406" s="10">
        <f>249.1/200*C406</f>
        <v>311.375</v>
      </c>
    </row>
    <row r="407" spans="1:7" x14ac:dyDescent="0.25">
      <c r="A407" s="8" t="s">
        <v>140</v>
      </c>
      <c r="B407" s="32" t="s">
        <v>20</v>
      </c>
      <c r="C407" s="9">
        <v>200</v>
      </c>
      <c r="D407" s="10">
        <f>0.2/200*C407</f>
        <v>0.2</v>
      </c>
      <c r="E407" s="10">
        <v>0</v>
      </c>
      <c r="F407" s="10">
        <f>6.5/200*C407</f>
        <v>6.5</v>
      </c>
      <c r="G407" s="10">
        <f>26.8/200*C407</f>
        <v>26.8</v>
      </c>
    </row>
    <row r="408" spans="1:7" x14ac:dyDescent="0.25">
      <c r="A408" s="4" t="s">
        <v>191</v>
      </c>
      <c r="B408" s="35" t="s">
        <v>21</v>
      </c>
      <c r="C408" s="6">
        <v>10</v>
      </c>
      <c r="D408" s="61">
        <v>1.3</v>
      </c>
      <c r="E408" s="61">
        <f>0.1/10*C408</f>
        <v>0.1</v>
      </c>
      <c r="F408" s="61">
        <f>7.2/10*C408</f>
        <v>7.1999999999999993</v>
      </c>
      <c r="G408" s="61">
        <f>1/10*C408</f>
        <v>1</v>
      </c>
    </row>
    <row r="409" spans="1:7" x14ac:dyDescent="0.25">
      <c r="A409" s="14" t="s">
        <v>124</v>
      </c>
      <c r="B409" s="35" t="s">
        <v>23</v>
      </c>
      <c r="C409" s="6">
        <v>25</v>
      </c>
      <c r="D409" s="10">
        <f>1.5/25*C409</f>
        <v>1.5</v>
      </c>
      <c r="E409" s="10">
        <f>0.5/25*C409</f>
        <v>0.5</v>
      </c>
      <c r="F409" s="10">
        <f>10.2/25*C409</f>
        <v>10.199999999999999</v>
      </c>
      <c r="G409" s="10">
        <f>52/25*C409</f>
        <v>52</v>
      </c>
    </row>
    <row r="410" spans="1:7" x14ac:dyDescent="0.25">
      <c r="A410" s="15" t="s">
        <v>124</v>
      </c>
      <c r="B410" s="32" t="s">
        <v>24</v>
      </c>
      <c r="C410" s="16">
        <v>45</v>
      </c>
      <c r="D410" s="25">
        <f>3.4/45*C410</f>
        <v>3.4</v>
      </c>
      <c r="E410" s="25">
        <f>0.4/45*C410</f>
        <v>0.4</v>
      </c>
      <c r="F410" s="25">
        <f>22.1/45*C410</f>
        <v>22.1</v>
      </c>
      <c r="G410" s="25">
        <f>105.8/45*C410</f>
        <v>105.8</v>
      </c>
    </row>
    <row r="411" spans="1:7" x14ac:dyDescent="0.25">
      <c r="A411" s="15"/>
      <c r="B411" s="4"/>
      <c r="C411" s="16"/>
      <c r="D411" s="11"/>
      <c r="E411" s="11"/>
      <c r="F411" s="11"/>
      <c r="G411" s="11"/>
    </row>
    <row r="412" spans="1:7" x14ac:dyDescent="0.25">
      <c r="A412" s="17"/>
      <c r="B412" s="6" t="s">
        <v>25</v>
      </c>
      <c r="C412" s="17">
        <f t="shared" ref="C412:G412" si="56">SUM(C406:C410)</f>
        <v>530</v>
      </c>
      <c r="D412" s="82">
        <f t="shared" si="56"/>
        <v>15.525</v>
      </c>
      <c r="E412" s="82">
        <f t="shared" si="56"/>
        <v>16.599999999999998</v>
      </c>
      <c r="F412" s="82">
        <f t="shared" si="56"/>
        <v>78.599999999999994</v>
      </c>
      <c r="G412" s="82">
        <f t="shared" si="56"/>
        <v>496.97500000000002</v>
      </c>
    </row>
    <row r="413" spans="1:7" x14ac:dyDescent="0.25">
      <c r="A413" s="289" t="s">
        <v>26</v>
      </c>
      <c r="B413" s="297"/>
      <c r="C413" s="297"/>
      <c r="D413" s="297"/>
      <c r="E413" s="297"/>
      <c r="F413" s="297"/>
      <c r="G413" s="297"/>
    </row>
    <row r="414" spans="1:7" x14ac:dyDescent="0.25">
      <c r="A414" s="19">
        <v>9</v>
      </c>
      <c r="B414" s="201" t="s">
        <v>84</v>
      </c>
      <c r="C414" s="46">
        <v>50</v>
      </c>
      <c r="D414" s="220">
        <f>0.8/60*C414</f>
        <v>0.66666666666666674</v>
      </c>
      <c r="E414" s="220">
        <f>2/60*C414</f>
        <v>1.6666666666666667</v>
      </c>
      <c r="F414" s="220">
        <f>4.1/60*C414</f>
        <v>3.4166666666666665</v>
      </c>
      <c r="G414" s="220">
        <f>37.6/60*C414</f>
        <v>31.333333333333336</v>
      </c>
    </row>
    <row r="415" spans="1:7" x14ac:dyDescent="0.25">
      <c r="A415" s="141" t="s">
        <v>157</v>
      </c>
      <c r="B415" s="201" t="s">
        <v>52</v>
      </c>
      <c r="C415" s="46">
        <v>150</v>
      </c>
      <c r="D415" s="21">
        <v>0.6</v>
      </c>
      <c r="E415" s="21">
        <v>9.36</v>
      </c>
      <c r="F415" s="21">
        <f>33.5/200*C415</f>
        <v>25.125</v>
      </c>
      <c r="G415" s="21">
        <f>284.1/200*C415</f>
        <v>213.07500000000002</v>
      </c>
    </row>
    <row r="416" spans="1:7" x14ac:dyDescent="0.25">
      <c r="A416" s="4" t="s">
        <v>130</v>
      </c>
      <c r="B416" s="35" t="s">
        <v>68</v>
      </c>
      <c r="C416" s="6">
        <v>150</v>
      </c>
      <c r="D416" s="7">
        <f>5.4/150*C416</f>
        <v>5.4</v>
      </c>
      <c r="E416" s="7">
        <f>4.9/150*C416</f>
        <v>4.9000000000000004</v>
      </c>
      <c r="F416" s="7">
        <v>29.5</v>
      </c>
      <c r="G416" s="7">
        <v>96</v>
      </c>
    </row>
    <row r="417" spans="1:79" s="81" customFormat="1" x14ac:dyDescent="0.25">
      <c r="A417" s="23" t="s">
        <v>178</v>
      </c>
      <c r="B417" s="5" t="s">
        <v>58</v>
      </c>
      <c r="C417" s="26">
        <v>80</v>
      </c>
      <c r="D417" s="25">
        <v>13</v>
      </c>
      <c r="E417" s="25">
        <f>3.2/80*C417</f>
        <v>3.2</v>
      </c>
      <c r="F417" s="25">
        <v>5.0999999999999996</v>
      </c>
      <c r="G417" s="86">
        <f>126.4/80*C417</f>
        <v>126.4</v>
      </c>
    </row>
    <row r="418" spans="1:79" s="81" customFormat="1" x14ac:dyDescent="0.25">
      <c r="A418" s="131" t="s">
        <v>131</v>
      </c>
      <c r="B418" s="97" t="s">
        <v>41</v>
      </c>
      <c r="C418" s="41">
        <v>30</v>
      </c>
      <c r="D418" s="42">
        <f>0.54/30*C418</f>
        <v>0.54</v>
      </c>
      <c r="E418" s="42">
        <f>3.67/30*C418</f>
        <v>3.67</v>
      </c>
      <c r="F418" s="42">
        <f>5.24/30*C418</f>
        <v>5.24</v>
      </c>
      <c r="G418" s="42">
        <f>56.16/30*C418</f>
        <v>56.16</v>
      </c>
    </row>
    <row r="419" spans="1:79" s="123" customFormat="1" x14ac:dyDescent="0.25">
      <c r="A419" s="8" t="s">
        <v>182</v>
      </c>
      <c r="B419" s="32" t="s">
        <v>71</v>
      </c>
      <c r="C419" s="90">
        <v>150</v>
      </c>
      <c r="D419" s="25">
        <v>0.1</v>
      </c>
      <c r="E419" s="25">
        <f>0.14/200*C419</f>
        <v>0.10500000000000001</v>
      </c>
      <c r="F419" s="25">
        <f>9.93/200*C419</f>
        <v>7.4474999999999998</v>
      </c>
      <c r="G419" s="25">
        <f>41.5/200*C419</f>
        <v>31.125</v>
      </c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189"/>
      <c r="AT419" s="189"/>
      <c r="AU419" s="189"/>
      <c r="AV419" s="189"/>
      <c r="AW419" s="189"/>
      <c r="AX419" s="189"/>
      <c r="AY419" s="189"/>
      <c r="AZ419" s="189"/>
      <c r="BA419" s="189"/>
      <c r="BB419" s="189"/>
      <c r="BC419" s="189"/>
      <c r="BD419" s="189"/>
      <c r="BE419" s="189"/>
      <c r="BF419" s="189"/>
      <c r="BG419" s="189"/>
      <c r="BH419" s="189"/>
      <c r="BI419" s="189"/>
      <c r="BJ419" s="189"/>
      <c r="BK419" s="189"/>
      <c r="BL419" s="189"/>
      <c r="BM419" s="189"/>
      <c r="BN419" s="189"/>
      <c r="BO419" s="189"/>
      <c r="BP419" s="189"/>
      <c r="BQ419" s="189"/>
      <c r="BR419" s="189"/>
      <c r="BS419" s="189"/>
      <c r="BT419" s="189"/>
      <c r="BU419" s="189"/>
      <c r="BV419" s="189"/>
      <c r="BW419" s="189"/>
      <c r="BX419" s="189"/>
      <c r="BY419" s="189"/>
      <c r="BZ419" s="189"/>
      <c r="CA419" s="189"/>
    </row>
    <row r="420" spans="1:79" x14ac:dyDescent="0.25">
      <c r="A420" s="95" t="s">
        <v>124</v>
      </c>
      <c r="B420" s="35" t="s">
        <v>23</v>
      </c>
      <c r="C420" s="6">
        <v>60</v>
      </c>
      <c r="D420" s="10">
        <f>1.5/25*C420</f>
        <v>3.5999999999999996</v>
      </c>
      <c r="E420" s="10">
        <f>0.5/25*C420</f>
        <v>1.2</v>
      </c>
      <c r="F420" s="10">
        <f>10.2/25*C420</f>
        <v>24.479999999999997</v>
      </c>
      <c r="G420" s="10">
        <f>52/25*C420</f>
        <v>124.80000000000001</v>
      </c>
    </row>
    <row r="421" spans="1:79" x14ac:dyDescent="0.25">
      <c r="A421" s="95" t="s">
        <v>124</v>
      </c>
      <c r="B421" s="32" t="s">
        <v>24</v>
      </c>
      <c r="C421" s="16">
        <v>30</v>
      </c>
      <c r="D421" s="25">
        <f>3.4/45*C421</f>
        <v>2.2666666666666666</v>
      </c>
      <c r="E421" s="25">
        <f>0.4/45*C421</f>
        <v>0.26666666666666666</v>
      </c>
      <c r="F421" s="25">
        <f>22.1/45*C421</f>
        <v>14.733333333333334</v>
      </c>
      <c r="G421" s="25">
        <f>105.8/45*C421</f>
        <v>70.533333333333331</v>
      </c>
    </row>
    <row r="422" spans="1:79" x14ac:dyDescent="0.25">
      <c r="A422" s="95"/>
      <c r="B422" s="211"/>
      <c r="C422" s="212"/>
      <c r="D422" s="262"/>
      <c r="E422" s="262"/>
      <c r="F422" s="262"/>
      <c r="G422" s="262"/>
    </row>
    <row r="423" spans="1:79" x14ac:dyDescent="0.25">
      <c r="A423" s="4"/>
      <c r="B423" s="71" t="s">
        <v>29</v>
      </c>
      <c r="C423" s="98">
        <f t="shared" ref="C423:G423" si="57">SUM(C414:C421)</f>
        <v>700</v>
      </c>
      <c r="D423" s="75">
        <f t="shared" si="57"/>
        <v>26.173333333333332</v>
      </c>
      <c r="E423" s="75">
        <f t="shared" si="57"/>
        <v>24.368333333333332</v>
      </c>
      <c r="F423" s="148">
        <f t="shared" si="57"/>
        <v>115.0425</v>
      </c>
      <c r="G423" s="75">
        <f t="shared" si="57"/>
        <v>749.42666666666673</v>
      </c>
    </row>
    <row r="424" spans="1:79" x14ac:dyDescent="0.25">
      <c r="A424" s="298" t="s">
        <v>30</v>
      </c>
      <c r="B424" s="299"/>
      <c r="C424" s="299"/>
      <c r="D424" s="299"/>
      <c r="E424" s="299"/>
      <c r="F424" s="299"/>
      <c r="G424" s="299"/>
    </row>
    <row r="425" spans="1:79" ht="26.25" x14ac:dyDescent="0.25">
      <c r="A425" s="8" t="s">
        <v>124</v>
      </c>
      <c r="B425" s="32" t="s">
        <v>105</v>
      </c>
      <c r="C425" s="90">
        <v>200</v>
      </c>
      <c r="D425" s="61">
        <f>5.4/200*C425</f>
        <v>5.4</v>
      </c>
      <c r="E425" s="61">
        <f>5/200*C425</f>
        <v>5</v>
      </c>
      <c r="F425" s="61">
        <f>21.6/200*C425</f>
        <v>21.6</v>
      </c>
      <c r="G425" s="133">
        <f>158/200*C425</f>
        <v>158</v>
      </c>
    </row>
    <row r="426" spans="1:79" x14ac:dyDescent="0.25">
      <c r="A426" s="8" t="s">
        <v>124</v>
      </c>
      <c r="B426" s="32" t="s">
        <v>55</v>
      </c>
      <c r="C426" s="28">
        <v>100</v>
      </c>
      <c r="D426" s="56">
        <v>5.5</v>
      </c>
      <c r="E426" s="56">
        <v>4.25</v>
      </c>
      <c r="F426" s="56">
        <v>17.670000000000002</v>
      </c>
      <c r="G426" s="56">
        <f>108/60*C426</f>
        <v>180</v>
      </c>
    </row>
    <row r="427" spans="1:79" x14ac:dyDescent="0.25">
      <c r="A427" s="4"/>
      <c r="B427" s="4"/>
      <c r="C427" s="28"/>
      <c r="D427" s="54"/>
      <c r="E427" s="54"/>
      <c r="F427" s="54"/>
      <c r="G427" s="54"/>
    </row>
    <row r="428" spans="1:79" x14ac:dyDescent="0.25">
      <c r="A428" s="4"/>
      <c r="B428" s="28" t="s">
        <v>32</v>
      </c>
      <c r="C428" s="29">
        <f>SUM(C425:C426)</f>
        <v>300</v>
      </c>
      <c r="D428" s="30">
        <f>SUM(D425:D426)</f>
        <v>10.9</v>
      </c>
      <c r="E428" s="30">
        <f t="shared" ref="E428:G428" si="58">SUM(E425:E426)</f>
        <v>9.25</v>
      </c>
      <c r="F428" s="30">
        <f t="shared" si="58"/>
        <v>39.270000000000003</v>
      </c>
      <c r="G428" s="30">
        <f t="shared" si="58"/>
        <v>338</v>
      </c>
    </row>
    <row r="429" spans="1:79" x14ac:dyDescent="0.25">
      <c r="A429" s="4"/>
      <c r="B429" s="28" t="s">
        <v>33</v>
      </c>
      <c r="C429" s="29">
        <f t="shared" ref="C429:G429" si="59">C428+C423+C412</f>
        <v>1530</v>
      </c>
      <c r="D429" s="30">
        <f t="shared" si="59"/>
        <v>52.598333333333329</v>
      </c>
      <c r="E429" s="29">
        <f t="shared" si="59"/>
        <v>50.218333333333334</v>
      </c>
      <c r="F429" s="29">
        <f t="shared" si="59"/>
        <v>232.91249999999999</v>
      </c>
      <c r="G429" s="30">
        <f t="shared" si="59"/>
        <v>1584.4016666666666</v>
      </c>
    </row>
    <row r="430" spans="1:79" x14ac:dyDescent="0.25">
      <c r="A430" s="293" t="s">
        <v>195</v>
      </c>
      <c r="B430" s="294"/>
      <c r="C430" s="294"/>
      <c r="D430" s="294"/>
      <c r="E430" s="294"/>
      <c r="F430" s="294"/>
      <c r="G430" s="294"/>
    </row>
    <row r="431" spans="1:79" x14ac:dyDescent="0.25">
      <c r="A431" s="293" t="s">
        <v>17</v>
      </c>
      <c r="B431" s="294"/>
      <c r="C431" s="294"/>
      <c r="D431" s="294"/>
      <c r="E431" s="294"/>
      <c r="F431" s="294"/>
      <c r="G431" s="294"/>
    </row>
    <row r="432" spans="1:79" x14ac:dyDescent="0.25">
      <c r="A432" s="285" t="s">
        <v>18</v>
      </c>
      <c r="B432" s="286"/>
      <c r="C432" s="286"/>
      <c r="D432" s="286"/>
      <c r="E432" s="286"/>
      <c r="F432" s="286"/>
      <c r="G432" s="286"/>
    </row>
    <row r="433" spans="1:79" x14ac:dyDescent="0.25">
      <c r="A433" s="287" t="s">
        <v>19</v>
      </c>
      <c r="B433" s="296"/>
      <c r="C433" s="296"/>
      <c r="D433" s="296"/>
      <c r="E433" s="296"/>
      <c r="F433" s="296"/>
      <c r="G433" s="296"/>
    </row>
    <row r="434" spans="1:79" s="81" customFormat="1" ht="26.25" x14ac:dyDescent="0.25">
      <c r="A434" s="49" t="s">
        <v>142</v>
      </c>
      <c r="B434" s="32" t="s">
        <v>73</v>
      </c>
      <c r="C434" s="51">
        <v>250</v>
      </c>
      <c r="D434" s="25">
        <v>3.67</v>
      </c>
      <c r="E434" s="25">
        <f>6.3/150*C434</f>
        <v>10.499999999999998</v>
      </c>
      <c r="F434" s="25">
        <v>29.38</v>
      </c>
      <c r="G434" s="86">
        <v>289.5</v>
      </c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  <c r="AR434" s="188"/>
      <c r="AS434" s="188"/>
      <c r="AT434" s="188"/>
      <c r="AU434" s="188"/>
      <c r="AV434" s="188"/>
      <c r="AW434" s="188"/>
      <c r="AX434" s="188"/>
      <c r="AY434" s="188"/>
      <c r="AZ434" s="188"/>
      <c r="BA434" s="188"/>
      <c r="BB434" s="188"/>
      <c r="BC434" s="188"/>
      <c r="BD434" s="188"/>
      <c r="BE434" s="188"/>
      <c r="BF434" s="188"/>
      <c r="BG434" s="188"/>
      <c r="BH434" s="188"/>
      <c r="BI434" s="188"/>
      <c r="BJ434" s="188"/>
      <c r="BK434" s="188"/>
      <c r="BL434" s="188"/>
      <c r="BM434" s="188"/>
      <c r="BN434" s="188"/>
      <c r="BO434" s="188"/>
      <c r="BP434" s="188"/>
      <c r="BQ434" s="188"/>
      <c r="BR434" s="188"/>
      <c r="BS434" s="188"/>
      <c r="BT434" s="188"/>
      <c r="BU434" s="188"/>
      <c r="BV434" s="188"/>
      <c r="BW434" s="188"/>
      <c r="BX434" s="188"/>
      <c r="BY434" s="188"/>
      <c r="BZ434" s="188"/>
      <c r="CA434" s="188"/>
    </row>
    <row r="435" spans="1:79" x14ac:dyDescent="0.25">
      <c r="A435" s="8" t="s">
        <v>134</v>
      </c>
      <c r="B435" s="32" t="s">
        <v>36</v>
      </c>
      <c r="C435" s="9">
        <v>200</v>
      </c>
      <c r="D435" s="10">
        <f>3.8/200*C435</f>
        <v>3.8</v>
      </c>
      <c r="E435" s="10">
        <f>2.9/200*C435</f>
        <v>2.9</v>
      </c>
      <c r="F435" s="10">
        <f>11.3/200*C435</f>
        <v>11.3</v>
      </c>
      <c r="G435" s="10">
        <f>86/200*C435</f>
        <v>86</v>
      </c>
    </row>
    <row r="436" spans="1:79" x14ac:dyDescent="0.25">
      <c r="A436" s="14" t="s">
        <v>135</v>
      </c>
      <c r="B436" s="35" t="s">
        <v>22</v>
      </c>
      <c r="C436" s="6">
        <v>15</v>
      </c>
      <c r="D436" s="7">
        <f>3.5/15*C436</f>
        <v>3.5</v>
      </c>
      <c r="E436" s="7">
        <f>4.4/15*C436</f>
        <v>4.4000000000000004</v>
      </c>
      <c r="F436" s="7">
        <v>0</v>
      </c>
      <c r="G436" s="7">
        <f>53.7/15*C436</f>
        <v>53.7</v>
      </c>
    </row>
    <row r="437" spans="1:79" x14ac:dyDescent="0.25">
      <c r="A437" s="14" t="s">
        <v>124</v>
      </c>
      <c r="B437" s="35" t="s">
        <v>23</v>
      </c>
      <c r="C437" s="6">
        <v>25</v>
      </c>
      <c r="D437" s="10">
        <f>1.5/25*C437</f>
        <v>1.5</v>
      </c>
      <c r="E437" s="10">
        <f>0.5/25*C437</f>
        <v>0.5</v>
      </c>
      <c r="F437" s="10">
        <f>10.2/25*C437</f>
        <v>10.199999999999999</v>
      </c>
      <c r="G437" s="10">
        <f>52/25*C437</f>
        <v>52</v>
      </c>
    </row>
    <row r="438" spans="1:79" x14ac:dyDescent="0.25">
      <c r="A438" s="14" t="s">
        <v>124</v>
      </c>
      <c r="B438" s="32" t="s">
        <v>24</v>
      </c>
      <c r="C438" s="16">
        <v>45</v>
      </c>
      <c r="D438" s="25">
        <f>3.4/45*C438</f>
        <v>3.4</v>
      </c>
      <c r="E438" s="25">
        <f>0.4/45*C438</f>
        <v>0.4</v>
      </c>
      <c r="F438" s="25">
        <f>22.1/45*C438</f>
        <v>22.1</v>
      </c>
      <c r="G438" s="25">
        <f>105.8/45*C438</f>
        <v>105.8</v>
      </c>
    </row>
    <row r="439" spans="1:79" x14ac:dyDescent="0.25">
      <c r="A439" s="15"/>
      <c r="B439" s="4"/>
      <c r="C439" s="16"/>
      <c r="D439" s="11"/>
      <c r="E439" s="11"/>
      <c r="F439" s="11"/>
      <c r="G439" s="11"/>
    </row>
    <row r="440" spans="1:79" x14ac:dyDescent="0.25">
      <c r="A440" s="17"/>
      <c r="B440" s="6" t="s">
        <v>25</v>
      </c>
      <c r="C440" s="17">
        <f t="shared" ref="C440:G440" si="60">SUM(C434:C438)</f>
        <v>535</v>
      </c>
      <c r="D440" s="82">
        <f t="shared" si="60"/>
        <v>15.87</v>
      </c>
      <c r="E440" s="82">
        <f t="shared" si="60"/>
        <v>18.699999999999996</v>
      </c>
      <c r="F440" s="82">
        <f t="shared" si="60"/>
        <v>72.97999999999999</v>
      </c>
      <c r="G440" s="82">
        <f t="shared" si="60"/>
        <v>587</v>
      </c>
    </row>
    <row r="441" spans="1:79" x14ac:dyDescent="0.25">
      <c r="A441" s="289" t="s">
        <v>26</v>
      </c>
      <c r="B441" s="297"/>
      <c r="C441" s="297"/>
      <c r="D441" s="297"/>
      <c r="E441" s="297"/>
      <c r="F441" s="297"/>
      <c r="G441" s="297"/>
    </row>
    <row r="442" spans="1:79" x14ac:dyDescent="0.25">
      <c r="A442" s="8" t="s">
        <v>126</v>
      </c>
      <c r="B442" s="5" t="s">
        <v>39</v>
      </c>
      <c r="C442" s="24">
        <v>50</v>
      </c>
      <c r="D442" s="25">
        <f>0.5/60*C442</f>
        <v>0.41666666666666669</v>
      </c>
      <c r="E442" s="25">
        <f>0.1/60*C442</f>
        <v>8.3333333333333343E-2</v>
      </c>
      <c r="F442" s="25">
        <f>1.5/60*C442</f>
        <v>1.25</v>
      </c>
      <c r="G442" s="86">
        <f>8.5/60*C442</f>
        <v>7.083333333333333</v>
      </c>
    </row>
    <row r="443" spans="1:79" x14ac:dyDescent="0.25">
      <c r="A443" s="141" t="s">
        <v>159</v>
      </c>
      <c r="B443" s="5" t="s">
        <v>87</v>
      </c>
      <c r="C443" s="26">
        <v>150</v>
      </c>
      <c r="D443" s="61">
        <v>11.4</v>
      </c>
      <c r="E443" s="61">
        <v>6.25</v>
      </c>
      <c r="F443" s="61">
        <v>34.75</v>
      </c>
      <c r="G443" s="61">
        <f>258.6/200*C443</f>
        <v>193.95000000000002</v>
      </c>
    </row>
    <row r="444" spans="1:79" ht="24" x14ac:dyDescent="0.25">
      <c r="A444" s="23" t="s">
        <v>168</v>
      </c>
      <c r="B444" s="40" t="s">
        <v>187</v>
      </c>
      <c r="C444" s="63">
        <v>250</v>
      </c>
      <c r="D444" s="21">
        <v>6.3</v>
      </c>
      <c r="E444" s="21">
        <f>12.5/250*C444</f>
        <v>12.5</v>
      </c>
      <c r="F444" s="21">
        <f>22.8/250*C444</f>
        <v>22.8</v>
      </c>
      <c r="G444" s="21">
        <f>268.8/250*C444</f>
        <v>268.8</v>
      </c>
    </row>
    <row r="445" spans="1:79" s="81" customFormat="1" x14ac:dyDescent="0.25">
      <c r="A445" s="131" t="s">
        <v>131</v>
      </c>
      <c r="B445" s="97" t="s">
        <v>41</v>
      </c>
      <c r="C445" s="41">
        <v>30</v>
      </c>
      <c r="D445" s="42">
        <f>0.54/30*C445</f>
        <v>0.54</v>
      </c>
      <c r="E445" s="42">
        <f>3.67/30*C445</f>
        <v>3.67</v>
      </c>
      <c r="F445" s="42">
        <f>5.24/30*C445</f>
        <v>5.24</v>
      </c>
      <c r="G445" s="42">
        <f>56.16/30*C445</f>
        <v>56.16</v>
      </c>
    </row>
    <row r="446" spans="1:79" x14ac:dyDescent="0.25">
      <c r="A446" s="8" t="s">
        <v>140</v>
      </c>
      <c r="B446" s="32" t="s">
        <v>20</v>
      </c>
      <c r="C446" s="9">
        <v>200</v>
      </c>
      <c r="D446" s="10">
        <f>0.2/200*C446</f>
        <v>0.2</v>
      </c>
      <c r="E446" s="10">
        <v>0</v>
      </c>
      <c r="F446" s="10">
        <f>6.5/200*C446</f>
        <v>6.5</v>
      </c>
      <c r="G446" s="10">
        <f>26.8/200*C446</f>
        <v>26.8</v>
      </c>
    </row>
    <row r="447" spans="1:79" x14ac:dyDescent="0.25">
      <c r="A447" s="95" t="s">
        <v>124</v>
      </c>
      <c r="B447" s="35" t="s">
        <v>23</v>
      </c>
      <c r="C447" s="6">
        <v>60</v>
      </c>
      <c r="D447" s="10">
        <f>1.5/25*C447</f>
        <v>3.5999999999999996</v>
      </c>
      <c r="E447" s="10">
        <f>0.5/25*C447</f>
        <v>1.2</v>
      </c>
      <c r="F447" s="10">
        <f>10.2/25*C447</f>
        <v>24.479999999999997</v>
      </c>
      <c r="G447" s="10">
        <f>52/25*C447</f>
        <v>124.80000000000001</v>
      </c>
    </row>
    <row r="448" spans="1:79" x14ac:dyDescent="0.25">
      <c r="A448" s="95" t="s">
        <v>124</v>
      </c>
      <c r="B448" s="32" t="s">
        <v>24</v>
      </c>
      <c r="C448" s="16">
        <v>30</v>
      </c>
      <c r="D448" s="25">
        <f>3.4/45*C448</f>
        <v>2.2666666666666666</v>
      </c>
      <c r="E448" s="25">
        <f>0.4/45*C448</f>
        <v>0.26666666666666666</v>
      </c>
      <c r="F448" s="25">
        <f>22.1/45*C448</f>
        <v>14.733333333333334</v>
      </c>
      <c r="G448" s="25">
        <f>105.8/45*C448</f>
        <v>70.533333333333331</v>
      </c>
    </row>
    <row r="449" spans="1:7" x14ac:dyDescent="0.25">
      <c r="A449" s="95"/>
      <c r="B449" s="211"/>
      <c r="C449" s="212"/>
      <c r="D449" s="103"/>
      <c r="E449" s="103"/>
      <c r="F449" s="103"/>
      <c r="G449" s="103"/>
    </row>
    <row r="450" spans="1:7" x14ac:dyDescent="0.25">
      <c r="A450" s="4"/>
      <c r="B450" s="71" t="s">
        <v>29</v>
      </c>
      <c r="C450" s="98">
        <f t="shared" ref="C450:G450" si="61">SUM(C442:C448)</f>
        <v>770</v>
      </c>
      <c r="D450" s="75">
        <f t="shared" si="61"/>
        <v>24.723333333333329</v>
      </c>
      <c r="E450" s="71">
        <f t="shared" si="61"/>
        <v>23.969999999999995</v>
      </c>
      <c r="F450" s="71">
        <f t="shared" si="61"/>
        <v>109.75333333333332</v>
      </c>
      <c r="G450" s="71">
        <f t="shared" si="61"/>
        <v>748.12666666666655</v>
      </c>
    </row>
    <row r="451" spans="1:7" x14ac:dyDescent="0.25">
      <c r="A451" s="298" t="s">
        <v>30</v>
      </c>
      <c r="B451" s="299"/>
      <c r="C451" s="299"/>
      <c r="D451" s="299"/>
      <c r="E451" s="299"/>
      <c r="F451" s="299"/>
      <c r="G451" s="299"/>
    </row>
    <row r="452" spans="1:7" x14ac:dyDescent="0.25">
      <c r="A452" s="8">
        <v>100</v>
      </c>
      <c r="B452" s="5" t="s">
        <v>88</v>
      </c>
      <c r="C452" s="26">
        <v>100</v>
      </c>
      <c r="D452" s="21">
        <f>5.5/60*C452</f>
        <v>9.1666666666666661</v>
      </c>
      <c r="E452" s="21">
        <v>9</v>
      </c>
      <c r="F452" s="21">
        <v>34.67</v>
      </c>
      <c r="G452" s="21">
        <f>143.9/60*C452</f>
        <v>239.83333333333334</v>
      </c>
    </row>
    <row r="453" spans="1:7" x14ac:dyDescent="0.25">
      <c r="A453" s="8" t="s">
        <v>123</v>
      </c>
      <c r="B453" s="32" t="s">
        <v>122</v>
      </c>
      <c r="C453" s="9">
        <v>200</v>
      </c>
      <c r="D453" s="10">
        <f>1.6/200*C453</f>
        <v>1.6</v>
      </c>
      <c r="E453" s="10">
        <f>1.1/200*C453</f>
        <v>1.1000000000000001</v>
      </c>
      <c r="F453" s="10">
        <f>8.7/200*C453</f>
        <v>8.6999999999999993</v>
      </c>
      <c r="G453" s="10">
        <f>50.9/200*C453</f>
        <v>50.9</v>
      </c>
    </row>
    <row r="454" spans="1:7" x14ac:dyDescent="0.25">
      <c r="A454" s="4"/>
      <c r="B454" s="4"/>
      <c r="C454" s="29"/>
      <c r="D454" s="30"/>
      <c r="E454" s="30"/>
      <c r="F454" s="30"/>
      <c r="G454" s="30"/>
    </row>
    <row r="455" spans="1:7" x14ac:dyDescent="0.25">
      <c r="A455" s="4"/>
      <c r="B455" s="28" t="s">
        <v>32</v>
      </c>
      <c r="C455" s="29">
        <f>SUM(C452:C453)</f>
        <v>300</v>
      </c>
      <c r="D455" s="30">
        <f>SUM(D452:D453)</f>
        <v>10.766666666666666</v>
      </c>
      <c r="E455" s="30">
        <f t="shared" ref="E455:G455" si="62">SUM(E452:E453)</f>
        <v>10.1</v>
      </c>
      <c r="F455" s="30">
        <f t="shared" si="62"/>
        <v>43.370000000000005</v>
      </c>
      <c r="G455" s="30">
        <f t="shared" si="62"/>
        <v>290.73333333333335</v>
      </c>
    </row>
    <row r="456" spans="1:7" x14ac:dyDescent="0.25">
      <c r="A456" s="4"/>
      <c r="B456" s="28" t="s">
        <v>33</v>
      </c>
      <c r="C456" s="29">
        <f t="shared" ref="C456:G456" si="63">C455+C450+C440</f>
        <v>1605</v>
      </c>
      <c r="D456" s="30">
        <f t="shared" si="63"/>
        <v>51.359999999999992</v>
      </c>
      <c r="E456" s="29">
        <f t="shared" si="63"/>
        <v>52.769999999999989</v>
      </c>
      <c r="F456" s="29">
        <f t="shared" si="63"/>
        <v>226.10333333333332</v>
      </c>
      <c r="G456" s="29">
        <f t="shared" si="63"/>
        <v>1625.86</v>
      </c>
    </row>
    <row r="457" spans="1:7" x14ac:dyDescent="0.25">
      <c r="A457" s="293" t="s">
        <v>195</v>
      </c>
      <c r="B457" s="294"/>
      <c r="C457" s="294"/>
      <c r="D457" s="294"/>
      <c r="E457" s="294"/>
      <c r="F457" s="294"/>
      <c r="G457" s="294"/>
    </row>
    <row r="458" spans="1:7" x14ac:dyDescent="0.25">
      <c r="A458" s="293" t="s">
        <v>93</v>
      </c>
      <c r="B458" s="294"/>
      <c r="C458" s="294"/>
      <c r="D458" s="294"/>
      <c r="E458" s="294"/>
      <c r="F458" s="294"/>
      <c r="G458" s="294"/>
    </row>
    <row r="459" spans="1:7" x14ac:dyDescent="0.25">
      <c r="A459" s="285" t="s">
        <v>18</v>
      </c>
      <c r="B459" s="286"/>
      <c r="C459" s="286"/>
      <c r="D459" s="286"/>
      <c r="E459" s="286"/>
      <c r="F459" s="286"/>
      <c r="G459" s="286"/>
    </row>
    <row r="460" spans="1:7" x14ac:dyDescent="0.25">
      <c r="A460" s="287" t="s">
        <v>19</v>
      </c>
      <c r="B460" s="296"/>
      <c r="C460" s="296"/>
      <c r="D460" s="296"/>
      <c r="E460" s="296"/>
      <c r="F460" s="296"/>
      <c r="G460" s="296"/>
    </row>
    <row r="461" spans="1:7" x14ac:dyDescent="0.25">
      <c r="A461" s="22" t="s">
        <v>188</v>
      </c>
      <c r="B461" s="36" t="s">
        <v>172</v>
      </c>
      <c r="C461" s="16">
        <v>250</v>
      </c>
      <c r="D461" s="56">
        <v>3.9</v>
      </c>
      <c r="E461" s="56">
        <v>15.8</v>
      </c>
      <c r="F461" s="56">
        <f>22.33/250*C461</f>
        <v>22.33</v>
      </c>
      <c r="G461" s="56">
        <v>267.3</v>
      </c>
    </row>
    <row r="462" spans="1:7" x14ac:dyDescent="0.25">
      <c r="A462" s="8" t="s">
        <v>140</v>
      </c>
      <c r="B462" s="32" t="s">
        <v>20</v>
      </c>
      <c r="C462" s="9">
        <v>200</v>
      </c>
      <c r="D462" s="10">
        <f>0.2/200*C462</f>
        <v>0.2</v>
      </c>
      <c r="E462" s="10">
        <v>0</v>
      </c>
      <c r="F462" s="10">
        <f>6.5/200*C462</f>
        <v>6.5</v>
      </c>
      <c r="G462" s="10">
        <v>56.8</v>
      </c>
    </row>
    <row r="463" spans="1:7" x14ac:dyDescent="0.25">
      <c r="A463" s="4" t="s">
        <v>191</v>
      </c>
      <c r="B463" s="35" t="s">
        <v>21</v>
      </c>
      <c r="C463" s="6">
        <v>10</v>
      </c>
      <c r="D463" s="61">
        <f>10/10*C463</f>
        <v>10</v>
      </c>
      <c r="E463" s="61">
        <f>0.1/10*C463</f>
        <v>0.1</v>
      </c>
      <c r="F463" s="61">
        <f>7.2/10*C463</f>
        <v>7.1999999999999993</v>
      </c>
      <c r="G463" s="61">
        <f>1/10*C463</f>
        <v>1</v>
      </c>
    </row>
    <row r="464" spans="1:7" x14ac:dyDescent="0.25">
      <c r="A464" s="14" t="s">
        <v>124</v>
      </c>
      <c r="B464" s="35" t="s">
        <v>23</v>
      </c>
      <c r="C464" s="6">
        <v>25</v>
      </c>
      <c r="D464" s="10">
        <f>1.5/25*C464</f>
        <v>1.5</v>
      </c>
      <c r="E464" s="10">
        <f>0.5/25*C464</f>
        <v>0.5</v>
      </c>
      <c r="F464" s="10">
        <f>10.2/25*C464</f>
        <v>10.199999999999999</v>
      </c>
      <c r="G464" s="10">
        <f>52/25*C464</f>
        <v>52</v>
      </c>
    </row>
    <row r="465" spans="1:7" x14ac:dyDescent="0.25">
      <c r="A465" s="15" t="s">
        <v>124</v>
      </c>
      <c r="B465" s="32" t="s">
        <v>24</v>
      </c>
      <c r="C465" s="16">
        <v>45</v>
      </c>
      <c r="D465" s="25">
        <f>3.4/45*C465</f>
        <v>3.4</v>
      </c>
      <c r="E465" s="25">
        <f>0.4/45*C465</f>
        <v>0.4</v>
      </c>
      <c r="F465" s="25">
        <f>22.1/45*C465</f>
        <v>22.1</v>
      </c>
      <c r="G465" s="25">
        <f>105.8/45*C465</f>
        <v>105.8</v>
      </c>
    </row>
    <row r="466" spans="1:7" x14ac:dyDescent="0.25">
      <c r="A466" s="15"/>
      <c r="B466" s="4"/>
      <c r="C466" s="16"/>
      <c r="D466" s="11"/>
      <c r="E466" s="11"/>
      <c r="F466" s="11"/>
      <c r="G466" s="11"/>
    </row>
    <row r="467" spans="1:7" x14ac:dyDescent="0.25">
      <c r="A467" s="17"/>
      <c r="B467" s="6" t="s">
        <v>25</v>
      </c>
      <c r="C467" s="17">
        <f t="shared" ref="C467:G467" si="64">SUM(C461:C465)</f>
        <v>530</v>
      </c>
      <c r="D467" s="82">
        <f t="shared" si="64"/>
        <v>19</v>
      </c>
      <c r="E467" s="82">
        <f t="shared" si="64"/>
        <v>16.799999999999997</v>
      </c>
      <c r="F467" s="82">
        <f t="shared" si="64"/>
        <v>68.330000000000013</v>
      </c>
      <c r="G467" s="82">
        <f t="shared" si="64"/>
        <v>482.90000000000003</v>
      </c>
    </row>
    <row r="468" spans="1:7" x14ac:dyDescent="0.25">
      <c r="A468" s="289" t="s">
        <v>26</v>
      </c>
      <c r="B468" s="297"/>
      <c r="C468" s="297"/>
      <c r="D468" s="297"/>
      <c r="E468" s="297"/>
      <c r="F468" s="297"/>
      <c r="G468" s="297"/>
    </row>
    <row r="469" spans="1:7" x14ac:dyDescent="0.25">
      <c r="A469" s="8" t="s">
        <v>136</v>
      </c>
      <c r="B469" s="32" t="s">
        <v>74</v>
      </c>
      <c r="C469" s="9">
        <v>100</v>
      </c>
      <c r="D469" s="10">
        <f>0.6/60*C469</f>
        <v>1</v>
      </c>
      <c r="E469" s="10">
        <f>5.3/60*C469</f>
        <v>8.8333333333333339</v>
      </c>
      <c r="F469" s="10">
        <f>4.1/60*C469</f>
        <v>6.833333333333333</v>
      </c>
      <c r="G469" s="10">
        <f>67.1/60*C469</f>
        <v>111.83333333333331</v>
      </c>
    </row>
    <row r="470" spans="1:7" x14ac:dyDescent="0.25">
      <c r="A470" s="49" t="s">
        <v>161</v>
      </c>
      <c r="B470" s="5" t="s">
        <v>162</v>
      </c>
      <c r="C470" s="50">
        <v>200</v>
      </c>
      <c r="D470" s="21">
        <v>3.5</v>
      </c>
      <c r="E470" s="21">
        <f>1.8/200*C470</f>
        <v>1.8000000000000003</v>
      </c>
      <c r="F470" s="21">
        <v>12.6</v>
      </c>
      <c r="G470" s="21">
        <f>66.4/200*C470</f>
        <v>66.400000000000006</v>
      </c>
    </row>
    <row r="471" spans="1:7" s="81" customFormat="1" x14ac:dyDescent="0.25">
      <c r="A471" s="23" t="s">
        <v>139</v>
      </c>
      <c r="B471" s="153" t="s">
        <v>64</v>
      </c>
      <c r="C471" s="53">
        <v>150</v>
      </c>
      <c r="D471" s="56">
        <v>15.29</v>
      </c>
      <c r="E471" s="56">
        <f>8.1/200*C471</f>
        <v>6.0750000000000002</v>
      </c>
      <c r="F471" s="56">
        <v>34.9</v>
      </c>
      <c r="G471" s="56">
        <f>314.6/200*C471</f>
        <v>235.95000000000002</v>
      </c>
    </row>
    <row r="472" spans="1:7" s="81" customFormat="1" x14ac:dyDescent="0.25">
      <c r="A472" s="131" t="s">
        <v>131</v>
      </c>
      <c r="B472" s="97" t="s">
        <v>41</v>
      </c>
      <c r="C472" s="41">
        <v>50</v>
      </c>
      <c r="D472" s="42">
        <f>0.54/30*C472</f>
        <v>0.90000000000000013</v>
      </c>
      <c r="E472" s="42">
        <f>3.67/30*C472</f>
        <v>6.1166666666666671</v>
      </c>
      <c r="F472" s="42">
        <f>5.24/30*C472</f>
        <v>8.7333333333333325</v>
      </c>
      <c r="G472" s="42">
        <f>56.16/30*C472</f>
        <v>93.6</v>
      </c>
    </row>
    <row r="473" spans="1:7" x14ac:dyDescent="0.25">
      <c r="A473" s="8" t="s">
        <v>170</v>
      </c>
      <c r="B473" s="32" t="s">
        <v>169</v>
      </c>
      <c r="C473" s="9">
        <v>200</v>
      </c>
      <c r="D473" s="10">
        <f>0.3/200*C473</f>
        <v>0.3</v>
      </c>
      <c r="E473" s="10">
        <v>0</v>
      </c>
      <c r="F473" s="10">
        <f>6.7/200*C473</f>
        <v>6.7</v>
      </c>
      <c r="G473" s="10">
        <f>27.9/200*C473</f>
        <v>27.9</v>
      </c>
    </row>
    <row r="474" spans="1:7" x14ac:dyDescent="0.25">
      <c r="A474" s="95" t="s">
        <v>124</v>
      </c>
      <c r="B474" s="35" t="s">
        <v>23</v>
      </c>
      <c r="C474" s="6">
        <v>60</v>
      </c>
      <c r="D474" s="10">
        <f>1.5/25*C474</f>
        <v>3.5999999999999996</v>
      </c>
      <c r="E474" s="10">
        <f>0.5/25*C474</f>
        <v>1.2</v>
      </c>
      <c r="F474" s="10">
        <f>10.2/25*C474</f>
        <v>24.479999999999997</v>
      </c>
      <c r="G474" s="10">
        <f>52/25*C474</f>
        <v>124.80000000000001</v>
      </c>
    </row>
    <row r="475" spans="1:7" x14ac:dyDescent="0.25">
      <c r="A475" s="95" t="s">
        <v>124</v>
      </c>
      <c r="B475" s="32" t="s">
        <v>24</v>
      </c>
      <c r="C475" s="16">
        <v>30</v>
      </c>
      <c r="D475" s="25">
        <f>3.4/45*C475</f>
        <v>2.2666666666666666</v>
      </c>
      <c r="E475" s="25">
        <f>0.4/45*C475</f>
        <v>0.26666666666666666</v>
      </c>
      <c r="F475" s="25">
        <f>22.1/45*C475</f>
        <v>14.733333333333334</v>
      </c>
      <c r="G475" s="25">
        <f>105.8/45*C475</f>
        <v>70.533333333333331</v>
      </c>
    </row>
    <row r="476" spans="1:7" x14ac:dyDescent="0.25">
      <c r="A476" s="95"/>
      <c r="B476" s="211"/>
      <c r="C476" s="212"/>
      <c r="D476" s="103"/>
      <c r="E476" s="103"/>
      <c r="F476" s="103"/>
      <c r="G476" s="103"/>
    </row>
    <row r="477" spans="1:7" x14ac:dyDescent="0.25">
      <c r="A477" s="4"/>
      <c r="B477" s="71" t="s">
        <v>29</v>
      </c>
      <c r="C477" s="98">
        <f t="shared" ref="C477:G477" si="65">SUM(C469:C475)</f>
        <v>790</v>
      </c>
      <c r="D477" s="75">
        <f t="shared" si="65"/>
        <v>26.856666666666662</v>
      </c>
      <c r="E477" s="71">
        <f t="shared" si="65"/>
        <v>24.291666666666668</v>
      </c>
      <c r="F477" s="71">
        <f t="shared" si="65"/>
        <v>108.98</v>
      </c>
      <c r="G477" s="71">
        <f t="shared" si="65"/>
        <v>731.01666666666665</v>
      </c>
    </row>
    <row r="478" spans="1:7" x14ac:dyDescent="0.25">
      <c r="A478" s="298" t="s">
        <v>30</v>
      </c>
      <c r="B478" s="299"/>
      <c r="C478" s="299"/>
      <c r="D478" s="299"/>
      <c r="E478" s="299"/>
      <c r="F478" s="299"/>
      <c r="G478" s="299"/>
    </row>
    <row r="479" spans="1:7" x14ac:dyDescent="0.25">
      <c r="A479" s="4" t="s">
        <v>148</v>
      </c>
      <c r="B479" s="32" t="s">
        <v>66</v>
      </c>
      <c r="C479" s="28">
        <v>150</v>
      </c>
      <c r="D479" s="56">
        <v>8.3000000000000007</v>
      </c>
      <c r="E479" s="56">
        <v>8.6999999999999993</v>
      </c>
      <c r="F479" s="56">
        <f>21.7/150*C479</f>
        <v>21.7</v>
      </c>
      <c r="G479" s="56">
        <v>284.36</v>
      </c>
    </row>
    <row r="480" spans="1:7" x14ac:dyDescent="0.25">
      <c r="A480" s="8" t="s">
        <v>150</v>
      </c>
      <c r="B480" s="32" t="s">
        <v>36</v>
      </c>
      <c r="C480" s="9">
        <v>150</v>
      </c>
      <c r="D480" s="10">
        <f>3.8/200*C480</f>
        <v>2.85</v>
      </c>
      <c r="E480" s="10">
        <f>2.9/200*C480</f>
        <v>2.1749999999999998</v>
      </c>
      <c r="F480" s="10">
        <f>11.3/200*C480</f>
        <v>8.4749999999999996</v>
      </c>
      <c r="G480" s="10">
        <f>86/200*C480</f>
        <v>64.5</v>
      </c>
    </row>
    <row r="481" spans="1:79" x14ac:dyDescent="0.25">
      <c r="A481" s="4"/>
      <c r="B481" s="4"/>
      <c r="C481" s="29"/>
      <c r="D481" s="30"/>
      <c r="E481" s="30"/>
      <c r="F481" s="30"/>
      <c r="G481" s="30"/>
    </row>
    <row r="482" spans="1:79" x14ac:dyDescent="0.25">
      <c r="A482" s="4"/>
      <c r="B482" s="28" t="s">
        <v>32</v>
      </c>
      <c r="C482" s="29">
        <f>SUM(C479:C480)</f>
        <v>300</v>
      </c>
      <c r="D482" s="30">
        <f>SUM(D479:D480)</f>
        <v>11.15</v>
      </c>
      <c r="E482" s="30">
        <f t="shared" ref="E482:G482" si="66">SUM(E479:E480)</f>
        <v>10.875</v>
      </c>
      <c r="F482" s="30">
        <f t="shared" si="66"/>
        <v>30.174999999999997</v>
      </c>
      <c r="G482" s="30">
        <f t="shared" si="66"/>
        <v>348.86</v>
      </c>
    </row>
    <row r="483" spans="1:79" x14ac:dyDescent="0.25">
      <c r="A483" s="4"/>
      <c r="B483" s="28" t="s">
        <v>33</v>
      </c>
      <c r="C483" s="29">
        <f t="shared" ref="C483:G483" si="67">C482+C477+C467</f>
        <v>1620</v>
      </c>
      <c r="D483" s="30">
        <f t="shared" si="67"/>
        <v>57.006666666666661</v>
      </c>
      <c r="E483" s="29">
        <f t="shared" si="67"/>
        <v>51.966666666666669</v>
      </c>
      <c r="F483" s="29">
        <f t="shared" si="67"/>
        <v>207.48500000000001</v>
      </c>
      <c r="G483" s="30">
        <f t="shared" si="67"/>
        <v>1562.7766666666666</v>
      </c>
    </row>
    <row r="484" spans="1:79" x14ac:dyDescent="0.25">
      <c r="A484" s="293" t="s">
        <v>195</v>
      </c>
      <c r="B484" s="294"/>
      <c r="C484" s="294"/>
      <c r="D484" s="294"/>
      <c r="E484" s="294"/>
      <c r="F484" s="294"/>
      <c r="G484" s="294"/>
    </row>
    <row r="485" spans="1:79" x14ac:dyDescent="0.25">
      <c r="A485" s="293" t="s">
        <v>94</v>
      </c>
      <c r="B485" s="294"/>
      <c r="C485" s="294"/>
      <c r="D485" s="294"/>
      <c r="E485" s="294"/>
      <c r="F485" s="294"/>
      <c r="G485" s="294"/>
    </row>
    <row r="486" spans="1:79" x14ac:dyDescent="0.25">
      <c r="A486" s="285" t="s">
        <v>18</v>
      </c>
      <c r="B486" s="286"/>
      <c r="C486" s="286"/>
      <c r="D486" s="286"/>
      <c r="E486" s="286"/>
      <c r="F486" s="286"/>
      <c r="G486" s="286"/>
    </row>
    <row r="487" spans="1:79" x14ac:dyDescent="0.25">
      <c r="A487" s="287" t="s">
        <v>19</v>
      </c>
      <c r="B487" s="296"/>
      <c r="C487" s="296"/>
      <c r="D487" s="296"/>
      <c r="E487" s="296"/>
      <c r="F487" s="296"/>
      <c r="G487" s="296"/>
    </row>
    <row r="488" spans="1:79" s="123" customFormat="1" x14ac:dyDescent="0.25">
      <c r="A488" s="4" t="s">
        <v>158</v>
      </c>
      <c r="B488" s="36" t="s">
        <v>72</v>
      </c>
      <c r="C488" s="16">
        <v>210</v>
      </c>
      <c r="D488" s="11">
        <f>5/200*C488</f>
        <v>5.25</v>
      </c>
      <c r="E488" s="11">
        <v>7</v>
      </c>
      <c r="F488" s="11">
        <v>24.1</v>
      </c>
      <c r="G488" s="11">
        <f>168.9/200*C488</f>
        <v>177.345</v>
      </c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89"/>
      <c r="AT488" s="189"/>
      <c r="AU488" s="189"/>
      <c r="AV488" s="189"/>
      <c r="AW488" s="189"/>
      <c r="AX488" s="189"/>
      <c r="AY488" s="189"/>
      <c r="AZ488" s="189"/>
      <c r="BA488" s="189"/>
      <c r="BB488" s="189"/>
      <c r="BC488" s="189"/>
      <c r="BD488" s="189"/>
      <c r="BE488" s="189"/>
      <c r="BF488" s="189"/>
      <c r="BG488" s="189"/>
      <c r="BH488" s="189"/>
      <c r="BI488" s="189"/>
      <c r="BJ488" s="189"/>
      <c r="BK488" s="189"/>
      <c r="BL488" s="189"/>
      <c r="BM488" s="189"/>
      <c r="BN488" s="189"/>
      <c r="BO488" s="189"/>
      <c r="BP488" s="189"/>
      <c r="BQ488" s="189"/>
      <c r="BR488" s="189"/>
      <c r="BS488" s="189"/>
      <c r="BT488" s="189"/>
      <c r="BU488" s="189"/>
      <c r="BV488" s="189"/>
      <c r="BW488" s="189"/>
      <c r="BX488" s="189"/>
      <c r="BY488" s="189"/>
      <c r="BZ488" s="189"/>
      <c r="CA488" s="189"/>
    </row>
    <row r="489" spans="1:79" x14ac:dyDescent="0.25">
      <c r="A489" s="8" t="s">
        <v>134</v>
      </c>
      <c r="B489" s="32" t="s">
        <v>44</v>
      </c>
      <c r="C489" s="9">
        <v>200</v>
      </c>
      <c r="D489" s="10">
        <f>4.6/200*C489</f>
        <v>4.5999999999999996</v>
      </c>
      <c r="E489" s="10">
        <f>3.6/200*C489</f>
        <v>3.6000000000000005</v>
      </c>
      <c r="F489" s="10">
        <v>13</v>
      </c>
      <c r="G489" s="10">
        <f>100.4/200*C489</f>
        <v>100.4</v>
      </c>
    </row>
    <row r="490" spans="1:79" x14ac:dyDescent="0.25">
      <c r="A490" s="14" t="s">
        <v>135</v>
      </c>
      <c r="B490" s="35" t="s">
        <v>22</v>
      </c>
      <c r="C490" s="6">
        <v>15</v>
      </c>
      <c r="D490" s="7">
        <f>3.5/15*C490</f>
        <v>3.5</v>
      </c>
      <c r="E490" s="7">
        <f>4.4/15*C490</f>
        <v>4.4000000000000004</v>
      </c>
      <c r="F490" s="7">
        <v>0</v>
      </c>
      <c r="G490" s="7">
        <f>53.7/15*C490</f>
        <v>53.7</v>
      </c>
    </row>
    <row r="491" spans="1:79" x14ac:dyDescent="0.25">
      <c r="A491" s="14" t="s">
        <v>124</v>
      </c>
      <c r="B491" s="35" t="s">
        <v>23</v>
      </c>
      <c r="C491" s="6">
        <v>35</v>
      </c>
      <c r="D491" s="10">
        <f>1.5/25*C491</f>
        <v>2.1</v>
      </c>
      <c r="E491" s="10">
        <f>0.5/25*C491</f>
        <v>0.70000000000000007</v>
      </c>
      <c r="F491" s="10">
        <f>10.2/25*C491</f>
        <v>14.28</v>
      </c>
      <c r="G491" s="10">
        <f>52/25*C491</f>
        <v>72.8</v>
      </c>
    </row>
    <row r="492" spans="1:79" x14ac:dyDescent="0.25">
      <c r="A492" s="14" t="s">
        <v>124</v>
      </c>
      <c r="B492" s="32" t="s">
        <v>24</v>
      </c>
      <c r="C492" s="16">
        <v>45</v>
      </c>
      <c r="D492" s="25">
        <f>3.4/45*C492</f>
        <v>3.4</v>
      </c>
      <c r="E492" s="25">
        <f>0.4/45*C492</f>
        <v>0.4</v>
      </c>
      <c r="F492" s="25">
        <f>22.1/45*C492</f>
        <v>22.1</v>
      </c>
      <c r="G492" s="25">
        <f>105.8/45*C492</f>
        <v>105.8</v>
      </c>
    </row>
    <row r="493" spans="1:79" x14ac:dyDescent="0.25">
      <c r="A493" s="15"/>
      <c r="B493" s="4"/>
      <c r="C493" s="16"/>
      <c r="D493" s="11"/>
      <c r="E493" s="11"/>
      <c r="F493" s="11"/>
      <c r="G493" s="11"/>
    </row>
    <row r="494" spans="1:79" x14ac:dyDescent="0.25">
      <c r="A494" s="17"/>
      <c r="B494" s="6" t="s">
        <v>25</v>
      </c>
      <c r="C494" s="17">
        <f t="shared" ref="C494:G494" si="68">SUM(C488:C492)</f>
        <v>505</v>
      </c>
      <c r="D494" s="82">
        <f t="shared" si="68"/>
        <v>18.849999999999998</v>
      </c>
      <c r="E494" s="82">
        <f t="shared" si="68"/>
        <v>16.100000000000001</v>
      </c>
      <c r="F494" s="82">
        <f t="shared" si="68"/>
        <v>73.48</v>
      </c>
      <c r="G494" s="82">
        <f t="shared" si="68"/>
        <v>510.04500000000002</v>
      </c>
    </row>
    <row r="495" spans="1:79" x14ac:dyDescent="0.25">
      <c r="A495" s="289" t="s">
        <v>26</v>
      </c>
      <c r="B495" s="297"/>
      <c r="C495" s="297"/>
      <c r="D495" s="297"/>
      <c r="E495" s="297"/>
      <c r="F495" s="297"/>
      <c r="G495" s="297"/>
    </row>
    <row r="496" spans="1:79" x14ac:dyDescent="0.25">
      <c r="A496" s="8" t="s">
        <v>144</v>
      </c>
      <c r="B496" s="5" t="s">
        <v>81</v>
      </c>
      <c r="C496" s="90">
        <v>50</v>
      </c>
      <c r="D496" s="25">
        <f>0.8/60*C496</f>
        <v>0.66666666666666674</v>
      </c>
      <c r="E496" s="25">
        <f>2.7/60*C496</f>
        <v>2.2500000000000004</v>
      </c>
      <c r="F496" s="25">
        <f>4.6/60*C496</f>
        <v>3.833333333333333</v>
      </c>
      <c r="G496" s="25">
        <f>45.6/60*C496</f>
        <v>38</v>
      </c>
    </row>
    <row r="497" spans="1:7" ht="24" x14ac:dyDescent="0.25">
      <c r="A497" s="23" t="s">
        <v>157</v>
      </c>
      <c r="B497" s="40" t="s">
        <v>48</v>
      </c>
      <c r="C497" s="24">
        <v>150</v>
      </c>
      <c r="D497" s="10">
        <f>2.6/200*C497</f>
        <v>1.9500000000000002</v>
      </c>
      <c r="E497" s="10">
        <f>2/200*C497</f>
        <v>1.5</v>
      </c>
      <c r="F497" s="10">
        <f>17.6/200*C497</f>
        <v>13.200000000000001</v>
      </c>
      <c r="G497" s="10">
        <f>95.4/200*C497</f>
        <v>71.550000000000011</v>
      </c>
    </row>
    <row r="498" spans="1:7" x14ac:dyDescent="0.25">
      <c r="A498" s="23" t="s">
        <v>145</v>
      </c>
      <c r="B498" s="5" t="s">
        <v>106</v>
      </c>
      <c r="C498" s="63">
        <v>150</v>
      </c>
      <c r="D498" s="232">
        <v>1.3</v>
      </c>
      <c r="E498" s="114">
        <v>7.1</v>
      </c>
      <c r="F498" s="114">
        <f>36/150*C498</f>
        <v>36</v>
      </c>
      <c r="G498" s="156">
        <f>233.7/150*C498</f>
        <v>233.7</v>
      </c>
    </row>
    <row r="499" spans="1:7" x14ac:dyDescent="0.25">
      <c r="A499" s="19" t="s">
        <v>154</v>
      </c>
      <c r="B499" s="32" t="s">
        <v>61</v>
      </c>
      <c r="C499" s="20">
        <v>100</v>
      </c>
      <c r="D499" s="21">
        <f>12.9/100*C499</f>
        <v>12.9</v>
      </c>
      <c r="E499" s="21">
        <v>5</v>
      </c>
      <c r="F499" s="21">
        <f>6.1/100*C499</f>
        <v>6.1</v>
      </c>
      <c r="G499" s="21">
        <f>112.2/100*C499</f>
        <v>112.20000000000002</v>
      </c>
    </row>
    <row r="500" spans="1:7" x14ac:dyDescent="0.25">
      <c r="A500" s="131" t="s">
        <v>131</v>
      </c>
      <c r="B500" s="97" t="s">
        <v>41</v>
      </c>
      <c r="C500" s="41">
        <v>50</v>
      </c>
      <c r="D500" s="42">
        <f>0.54/30*C500</f>
        <v>0.90000000000000013</v>
      </c>
      <c r="E500" s="42">
        <f>3.67/30*C500</f>
        <v>6.1166666666666671</v>
      </c>
      <c r="F500" s="42">
        <f>5.24/30*C500</f>
        <v>8.7333333333333325</v>
      </c>
      <c r="G500" s="42">
        <f>56.16/30*C500</f>
        <v>93.6</v>
      </c>
    </row>
    <row r="501" spans="1:7" x14ac:dyDescent="0.25">
      <c r="A501" s="8">
        <v>254</v>
      </c>
      <c r="B501" s="97" t="s">
        <v>77</v>
      </c>
      <c r="C501" s="37">
        <v>200</v>
      </c>
      <c r="D501" s="38">
        <f>0.4/200*C501</f>
        <v>0.4</v>
      </c>
      <c r="E501" s="38">
        <v>0</v>
      </c>
      <c r="F501" s="38">
        <f>3/200*C501</f>
        <v>3</v>
      </c>
      <c r="G501" s="38">
        <f>14.4/200*C501</f>
        <v>14.400000000000002</v>
      </c>
    </row>
    <row r="502" spans="1:7" x14ac:dyDescent="0.25">
      <c r="A502" s="95" t="s">
        <v>124</v>
      </c>
      <c r="B502" s="35" t="s">
        <v>23</v>
      </c>
      <c r="C502" s="6">
        <v>60</v>
      </c>
      <c r="D502" s="10">
        <f>1.5/25*C502</f>
        <v>3.5999999999999996</v>
      </c>
      <c r="E502" s="10">
        <v>2.2000000000000002</v>
      </c>
      <c r="F502" s="10">
        <f>10.2/25*C502</f>
        <v>24.479999999999997</v>
      </c>
      <c r="G502" s="10">
        <f>52/25*C502</f>
        <v>124.80000000000001</v>
      </c>
    </row>
    <row r="503" spans="1:7" x14ac:dyDescent="0.25">
      <c r="A503" s="95" t="s">
        <v>124</v>
      </c>
      <c r="B503" s="32" t="s">
        <v>24</v>
      </c>
      <c r="C503" s="16">
        <v>30</v>
      </c>
      <c r="D503" s="25">
        <f>3.4/45*C503</f>
        <v>2.2666666666666666</v>
      </c>
      <c r="E503" s="25">
        <f>0.4/45*C503</f>
        <v>0.26666666666666666</v>
      </c>
      <c r="F503" s="25">
        <f>22.1/45*C503</f>
        <v>14.733333333333334</v>
      </c>
      <c r="G503" s="25">
        <f>105.8/45*C503</f>
        <v>70.533333333333331</v>
      </c>
    </row>
    <row r="504" spans="1:7" x14ac:dyDescent="0.25">
      <c r="A504" s="95"/>
      <c r="B504" s="211"/>
      <c r="C504" s="212"/>
      <c r="D504" s="103"/>
      <c r="E504" s="103"/>
      <c r="F504" s="103"/>
      <c r="G504" s="103"/>
    </row>
    <row r="505" spans="1:7" x14ac:dyDescent="0.25">
      <c r="A505" s="4"/>
      <c r="B505" s="71" t="s">
        <v>29</v>
      </c>
      <c r="C505" s="98">
        <f t="shared" ref="C505:G505" si="69">SUM(C496:C503)</f>
        <v>790</v>
      </c>
      <c r="D505" s="75">
        <f t="shared" si="69"/>
        <v>23.983333333333327</v>
      </c>
      <c r="E505" s="75">
        <f t="shared" si="69"/>
        <v>24.433333333333334</v>
      </c>
      <c r="F505" s="148">
        <f t="shared" si="69"/>
        <v>110.08</v>
      </c>
      <c r="G505" s="75">
        <f t="shared" si="69"/>
        <v>758.7833333333333</v>
      </c>
    </row>
    <row r="506" spans="1:7" x14ac:dyDescent="0.25">
      <c r="A506" s="298" t="s">
        <v>30</v>
      </c>
      <c r="B506" s="299"/>
      <c r="C506" s="299"/>
      <c r="D506" s="299"/>
      <c r="E506" s="299"/>
      <c r="F506" s="299"/>
      <c r="G506" s="299"/>
    </row>
    <row r="507" spans="1:7" x14ac:dyDescent="0.25">
      <c r="A507" s="72">
        <v>309</v>
      </c>
      <c r="B507" s="244" t="s">
        <v>76</v>
      </c>
      <c r="C507" s="73">
        <v>100</v>
      </c>
      <c r="D507" s="228">
        <v>3.5</v>
      </c>
      <c r="E507" s="228">
        <v>5.31</v>
      </c>
      <c r="F507" s="74">
        <v>39.299999999999997</v>
      </c>
      <c r="G507" s="228">
        <v>158.6</v>
      </c>
    </row>
    <row r="508" spans="1:7" x14ac:dyDescent="0.25">
      <c r="A508" s="23">
        <v>267</v>
      </c>
      <c r="B508" s="5" t="s">
        <v>103</v>
      </c>
      <c r="C508" s="26">
        <v>200</v>
      </c>
      <c r="D508" s="21">
        <f>7.32/200*C508</f>
        <v>7.32</v>
      </c>
      <c r="E508" s="21">
        <v>6.3</v>
      </c>
      <c r="F508" s="21">
        <f>9/200*C508</f>
        <v>9</v>
      </c>
      <c r="G508" s="21">
        <f>128/200*C508</f>
        <v>128</v>
      </c>
    </row>
    <row r="509" spans="1:7" x14ac:dyDescent="0.25">
      <c r="A509" s="4"/>
      <c r="B509" s="4"/>
      <c r="C509" s="29"/>
      <c r="D509" s="30"/>
      <c r="E509" s="30"/>
      <c r="F509" s="30"/>
      <c r="G509" s="30"/>
    </row>
    <row r="510" spans="1:7" x14ac:dyDescent="0.25">
      <c r="A510" s="4"/>
      <c r="B510" s="28" t="s">
        <v>32</v>
      </c>
      <c r="C510" s="29">
        <f>SUM(C507:C508)</f>
        <v>300</v>
      </c>
      <c r="D510" s="30">
        <f>SUM(D507:D508)</f>
        <v>10.82</v>
      </c>
      <c r="E510" s="30">
        <f t="shared" ref="E510:G510" si="70">SUM(E507:E508)</f>
        <v>11.61</v>
      </c>
      <c r="F510" s="30">
        <f t="shared" si="70"/>
        <v>48.3</v>
      </c>
      <c r="G510" s="30">
        <f t="shared" si="70"/>
        <v>286.60000000000002</v>
      </c>
    </row>
    <row r="511" spans="1:7" x14ac:dyDescent="0.25">
      <c r="A511" s="4"/>
      <c r="B511" s="28" t="s">
        <v>33</v>
      </c>
      <c r="C511" s="29">
        <f t="shared" ref="C511:G511" si="71">C510+C505+C494</f>
        <v>1595</v>
      </c>
      <c r="D511" s="30">
        <f t="shared" si="71"/>
        <v>53.653333333333322</v>
      </c>
      <c r="E511" s="29">
        <f t="shared" si="71"/>
        <v>52.143333333333338</v>
      </c>
      <c r="F511" s="29">
        <f t="shared" si="71"/>
        <v>231.86</v>
      </c>
      <c r="G511" s="29">
        <f t="shared" si="71"/>
        <v>1555.4283333333333</v>
      </c>
    </row>
    <row r="512" spans="1:7" x14ac:dyDescent="0.25">
      <c r="A512" s="293" t="s">
        <v>195</v>
      </c>
      <c r="B512" s="294"/>
      <c r="C512" s="294"/>
      <c r="D512" s="294"/>
      <c r="E512" s="294"/>
      <c r="F512" s="294"/>
      <c r="G512" s="294"/>
    </row>
    <row r="513" spans="1:7" x14ac:dyDescent="0.25">
      <c r="A513" s="293" t="s">
        <v>98</v>
      </c>
      <c r="B513" s="294"/>
      <c r="C513" s="294"/>
      <c r="D513" s="294"/>
      <c r="E513" s="294"/>
      <c r="F513" s="294"/>
      <c r="G513" s="294"/>
    </row>
    <row r="514" spans="1:7" x14ac:dyDescent="0.25">
      <c r="A514" s="285" t="s">
        <v>18</v>
      </c>
      <c r="B514" s="286"/>
      <c r="C514" s="286"/>
      <c r="D514" s="286"/>
      <c r="E514" s="286"/>
      <c r="F514" s="286"/>
      <c r="G514" s="286"/>
    </row>
    <row r="515" spans="1:7" x14ac:dyDescent="0.25">
      <c r="A515" s="287" t="s">
        <v>19</v>
      </c>
      <c r="B515" s="296"/>
      <c r="C515" s="296"/>
      <c r="D515" s="296"/>
      <c r="E515" s="296"/>
      <c r="F515" s="296"/>
      <c r="G515" s="296"/>
    </row>
    <row r="516" spans="1:7" x14ac:dyDescent="0.25">
      <c r="A516" s="19" t="s">
        <v>177</v>
      </c>
      <c r="B516" s="32" t="s">
        <v>176</v>
      </c>
      <c r="C516" s="28">
        <v>220</v>
      </c>
      <c r="D516" s="56">
        <v>4.2</v>
      </c>
      <c r="E516" s="56">
        <f>7.5/200*C516</f>
        <v>8.25</v>
      </c>
      <c r="F516" s="56">
        <f>24.7/200*C516</f>
        <v>27.169999999999998</v>
      </c>
      <c r="G516" s="56">
        <v>250.9</v>
      </c>
    </row>
    <row r="517" spans="1:7" x14ac:dyDescent="0.25">
      <c r="A517" s="8" t="s">
        <v>140</v>
      </c>
      <c r="B517" s="32" t="s">
        <v>20</v>
      </c>
      <c r="C517" s="9">
        <v>200</v>
      </c>
      <c r="D517" s="10">
        <f>0.2/200*C517</f>
        <v>0.2</v>
      </c>
      <c r="E517" s="10">
        <v>0</v>
      </c>
      <c r="F517" s="10">
        <f>6.5/200*C517</f>
        <v>6.5</v>
      </c>
      <c r="G517" s="10">
        <v>56.9</v>
      </c>
    </row>
    <row r="518" spans="1:7" x14ac:dyDescent="0.25">
      <c r="A518" s="4" t="s">
        <v>191</v>
      </c>
      <c r="B518" s="35" t="s">
        <v>21</v>
      </c>
      <c r="C518" s="6">
        <v>10</v>
      </c>
      <c r="D518" s="61">
        <f>10/10*C518</f>
        <v>10</v>
      </c>
      <c r="E518" s="61">
        <v>8</v>
      </c>
      <c r="F518" s="61">
        <f>7.2/10*C518</f>
        <v>7.1999999999999993</v>
      </c>
      <c r="G518" s="61">
        <v>5</v>
      </c>
    </row>
    <row r="519" spans="1:7" x14ac:dyDescent="0.25">
      <c r="A519" s="14" t="s">
        <v>124</v>
      </c>
      <c r="B519" s="35" t="s">
        <v>23</v>
      </c>
      <c r="C519" s="6">
        <v>25</v>
      </c>
      <c r="D519" s="10">
        <v>1.2</v>
      </c>
      <c r="E519" s="10">
        <f>0.5/25*C519</f>
        <v>0.5</v>
      </c>
      <c r="F519" s="10">
        <f>10.2/25*C519</f>
        <v>10.199999999999999</v>
      </c>
      <c r="G519" s="10">
        <f>52/25*C519</f>
        <v>52</v>
      </c>
    </row>
    <row r="520" spans="1:7" x14ac:dyDescent="0.25">
      <c r="A520" s="15" t="s">
        <v>124</v>
      </c>
      <c r="B520" s="32" t="s">
        <v>24</v>
      </c>
      <c r="C520" s="16">
        <v>45</v>
      </c>
      <c r="D520" s="25">
        <f>3.4/45*C520</f>
        <v>3.4</v>
      </c>
      <c r="E520" s="25">
        <f>0.4/45*C520</f>
        <v>0.4</v>
      </c>
      <c r="F520" s="25">
        <f>22.1/45*C520</f>
        <v>22.1</v>
      </c>
      <c r="G520" s="25">
        <f>105.8/45*C520</f>
        <v>105.8</v>
      </c>
    </row>
    <row r="521" spans="1:7" x14ac:dyDescent="0.25">
      <c r="A521" s="15"/>
      <c r="B521" s="4"/>
      <c r="C521" s="16"/>
      <c r="D521" s="11"/>
      <c r="E521" s="11"/>
      <c r="F521" s="11"/>
      <c r="G521" s="11"/>
    </row>
    <row r="522" spans="1:7" x14ac:dyDescent="0.25">
      <c r="A522" s="17"/>
      <c r="B522" s="6" t="s">
        <v>25</v>
      </c>
      <c r="C522" s="17">
        <f t="shared" ref="C522:G522" si="72">SUM(C516:C520)</f>
        <v>500</v>
      </c>
      <c r="D522" s="82">
        <f t="shared" si="72"/>
        <v>19</v>
      </c>
      <c r="E522" s="82">
        <f t="shared" si="72"/>
        <v>17.149999999999999</v>
      </c>
      <c r="F522" s="82">
        <f t="shared" si="72"/>
        <v>73.170000000000016</v>
      </c>
      <c r="G522" s="82">
        <f t="shared" si="72"/>
        <v>470.6</v>
      </c>
    </row>
    <row r="523" spans="1:7" x14ac:dyDescent="0.25">
      <c r="A523" s="289" t="s">
        <v>26</v>
      </c>
      <c r="B523" s="297"/>
      <c r="C523" s="297"/>
      <c r="D523" s="297"/>
      <c r="E523" s="297"/>
      <c r="F523" s="297"/>
      <c r="G523" s="297"/>
    </row>
    <row r="524" spans="1:7" x14ac:dyDescent="0.25">
      <c r="A524" s="8" t="s">
        <v>127</v>
      </c>
      <c r="B524" s="32" t="s">
        <v>75</v>
      </c>
      <c r="C524" s="28">
        <v>50</v>
      </c>
      <c r="D524" s="56">
        <f>0.7/60*C524</f>
        <v>0.58333333333333326</v>
      </c>
      <c r="E524" s="21">
        <f>0.1/60*C524</f>
        <v>8.3333333333333343E-2</v>
      </c>
      <c r="F524" s="21">
        <f>2.3/60*C524</f>
        <v>1.9166666666666665</v>
      </c>
      <c r="G524" s="21">
        <f>12.8/60*C524</f>
        <v>10.666666666666668</v>
      </c>
    </row>
    <row r="525" spans="1:7" x14ac:dyDescent="0.25">
      <c r="A525" s="23" t="s">
        <v>174</v>
      </c>
      <c r="B525" s="40" t="s">
        <v>173</v>
      </c>
      <c r="C525" s="24">
        <v>200</v>
      </c>
      <c r="D525" s="21">
        <f>2.34/200*C525</f>
        <v>2.34</v>
      </c>
      <c r="E525" s="21">
        <f>3.89/200*C525</f>
        <v>3.8900000000000006</v>
      </c>
      <c r="F525" s="21">
        <f>13.61/200*C525</f>
        <v>13.61</v>
      </c>
      <c r="G525" s="21">
        <f>198.1/200*C525</f>
        <v>198.1</v>
      </c>
    </row>
    <row r="526" spans="1:7" x14ac:dyDescent="0.25">
      <c r="A526" s="23" t="s">
        <v>189</v>
      </c>
      <c r="B526" s="32" t="s">
        <v>60</v>
      </c>
      <c r="C526" s="16">
        <v>100</v>
      </c>
      <c r="D526" s="11">
        <v>15.4</v>
      </c>
      <c r="E526" s="11">
        <v>10.6</v>
      </c>
      <c r="F526" s="11">
        <v>25.6</v>
      </c>
      <c r="G526" s="11">
        <f>128.4/100*C526</f>
        <v>128.4</v>
      </c>
    </row>
    <row r="527" spans="1:7" x14ac:dyDescent="0.25">
      <c r="A527" s="23" t="s">
        <v>131</v>
      </c>
      <c r="B527" s="5" t="s">
        <v>49</v>
      </c>
      <c r="C527" s="41">
        <v>50</v>
      </c>
      <c r="D527" s="42">
        <f>1.45/50*C527</f>
        <v>1.45</v>
      </c>
      <c r="E527" s="42">
        <f>8.25/50*C527</f>
        <v>8.25</v>
      </c>
      <c r="F527" s="42">
        <f>3.3/50*C527</f>
        <v>3.3000000000000003</v>
      </c>
      <c r="G527" s="42">
        <f>93.5/50*C527</f>
        <v>93.5</v>
      </c>
    </row>
    <row r="528" spans="1:7" x14ac:dyDescent="0.25">
      <c r="A528" s="23" t="s">
        <v>147</v>
      </c>
      <c r="B528" s="5" t="s">
        <v>28</v>
      </c>
      <c r="C528" s="24">
        <v>200</v>
      </c>
      <c r="D528" s="25">
        <f>0.5/200*C528</f>
        <v>0.5</v>
      </c>
      <c r="E528" s="25">
        <v>0</v>
      </c>
      <c r="F528" s="25">
        <f>19.8/200*C528</f>
        <v>19.8</v>
      </c>
      <c r="G528" s="86">
        <f>81/200*C528</f>
        <v>81</v>
      </c>
    </row>
    <row r="529" spans="1:79" x14ac:dyDescent="0.25">
      <c r="A529" s="95" t="s">
        <v>124</v>
      </c>
      <c r="B529" s="35" t="s">
        <v>23</v>
      </c>
      <c r="C529" s="6">
        <v>60</v>
      </c>
      <c r="D529" s="10">
        <f>1.5/25*C529</f>
        <v>3.5999999999999996</v>
      </c>
      <c r="E529" s="10">
        <f>0.5/25*C529</f>
        <v>1.2</v>
      </c>
      <c r="F529" s="10">
        <f>10.2/25*C529</f>
        <v>24.479999999999997</v>
      </c>
      <c r="G529" s="10">
        <f>52/25*C529</f>
        <v>124.80000000000001</v>
      </c>
    </row>
    <row r="530" spans="1:79" x14ac:dyDescent="0.25">
      <c r="A530" s="95" t="s">
        <v>124</v>
      </c>
      <c r="B530" s="32" t="s">
        <v>24</v>
      </c>
      <c r="C530" s="16">
        <v>40</v>
      </c>
      <c r="D530" s="25">
        <f>3.4/45*C530</f>
        <v>3.0222222222222221</v>
      </c>
      <c r="E530" s="25">
        <f>0.4/45*C530</f>
        <v>0.35555555555555557</v>
      </c>
      <c r="F530" s="25">
        <f>22.1/45*C530</f>
        <v>19.644444444444446</v>
      </c>
      <c r="G530" s="25">
        <f>105.8/45*C530</f>
        <v>94.044444444444437</v>
      </c>
    </row>
    <row r="531" spans="1:79" x14ac:dyDescent="0.25">
      <c r="A531" s="95"/>
      <c r="B531" s="243"/>
      <c r="C531" s="263"/>
      <c r="D531" s="42"/>
      <c r="E531" s="42"/>
      <c r="F531" s="42"/>
      <c r="G531" s="42"/>
    </row>
    <row r="532" spans="1:79" x14ac:dyDescent="0.25">
      <c r="A532" s="4"/>
      <c r="B532" s="71" t="s">
        <v>29</v>
      </c>
      <c r="C532" s="98">
        <f t="shared" ref="C532:G532" si="73">SUM(C524:C530)</f>
        <v>700</v>
      </c>
      <c r="D532" s="75">
        <f t="shared" si="73"/>
        <v>26.895555555555557</v>
      </c>
      <c r="E532" s="71">
        <f t="shared" si="73"/>
        <v>24.378888888888888</v>
      </c>
      <c r="F532" s="71">
        <f t="shared" si="73"/>
        <v>108.35111111111109</v>
      </c>
      <c r="G532" s="75">
        <f t="shared" si="73"/>
        <v>730.51111111111118</v>
      </c>
    </row>
    <row r="533" spans="1:79" x14ac:dyDescent="0.25">
      <c r="A533" s="298" t="s">
        <v>30</v>
      </c>
      <c r="B533" s="299"/>
      <c r="C533" s="299"/>
      <c r="D533" s="299"/>
      <c r="E533" s="299"/>
      <c r="F533" s="299"/>
      <c r="G533" s="299"/>
    </row>
    <row r="534" spans="1:79" x14ac:dyDescent="0.25">
      <c r="A534" s="8"/>
      <c r="B534" s="32" t="s">
        <v>101</v>
      </c>
      <c r="C534" s="9">
        <v>60</v>
      </c>
      <c r="D534" s="10">
        <v>8.3000000000000007</v>
      </c>
      <c r="E534" s="10">
        <v>8.1999999999999993</v>
      </c>
      <c r="F534" s="10">
        <v>33.56</v>
      </c>
      <c r="G534" s="10">
        <v>301.2</v>
      </c>
      <c r="H534" s="213"/>
    </row>
    <row r="535" spans="1:79" x14ac:dyDescent="0.25">
      <c r="A535" s="8" t="s">
        <v>140</v>
      </c>
      <c r="B535" s="32" t="s">
        <v>20</v>
      </c>
      <c r="C535" s="9">
        <v>240</v>
      </c>
      <c r="D535" s="10">
        <v>0.2</v>
      </c>
      <c r="E535" s="10">
        <v>0</v>
      </c>
      <c r="F535" s="10">
        <v>6.5</v>
      </c>
      <c r="G535" s="10">
        <v>26.8</v>
      </c>
    </row>
    <row r="536" spans="1:79" x14ac:dyDescent="0.25">
      <c r="A536" s="4"/>
      <c r="B536" s="4"/>
      <c r="C536" s="29"/>
      <c r="D536" s="30"/>
      <c r="E536" s="30"/>
      <c r="F536" s="30"/>
      <c r="G536" s="30"/>
    </row>
    <row r="537" spans="1:79" x14ac:dyDescent="0.25">
      <c r="A537" s="4"/>
      <c r="B537" s="28" t="s">
        <v>32</v>
      </c>
      <c r="C537" s="29">
        <f>SUM(C534:C535)</f>
        <v>300</v>
      </c>
      <c r="D537" s="30">
        <f>SUM(D534:D535)</f>
        <v>8.5</v>
      </c>
      <c r="E537" s="30">
        <f t="shared" ref="E537:G537" si="74">SUM(E534:E535)</f>
        <v>8.1999999999999993</v>
      </c>
      <c r="F537" s="30">
        <f t="shared" si="74"/>
        <v>40.06</v>
      </c>
      <c r="G537" s="30">
        <f t="shared" si="74"/>
        <v>328</v>
      </c>
    </row>
    <row r="538" spans="1:79" x14ac:dyDescent="0.25">
      <c r="A538" s="4"/>
      <c r="B538" s="28" t="s">
        <v>33</v>
      </c>
      <c r="C538" s="29">
        <f t="shared" ref="C538:G538" si="75">C537+C532+C522</f>
        <v>1500</v>
      </c>
      <c r="D538" s="30">
        <f t="shared" si="75"/>
        <v>54.395555555555561</v>
      </c>
      <c r="E538" s="29">
        <f t="shared" si="75"/>
        <v>49.728888888888882</v>
      </c>
      <c r="F538" s="29">
        <f t="shared" si="75"/>
        <v>221.58111111111111</v>
      </c>
      <c r="G538" s="30">
        <f t="shared" si="75"/>
        <v>1529.1111111111113</v>
      </c>
    </row>
    <row r="539" spans="1:79" x14ac:dyDescent="0.25">
      <c r="A539" s="293" t="s">
        <v>195</v>
      </c>
      <c r="B539" s="294"/>
      <c r="C539" s="294"/>
      <c r="D539" s="294"/>
      <c r="E539" s="294"/>
      <c r="F539" s="294"/>
      <c r="G539" s="294"/>
    </row>
    <row r="540" spans="1:79" x14ac:dyDescent="0.25">
      <c r="A540" s="293" t="s">
        <v>97</v>
      </c>
      <c r="B540" s="294"/>
      <c r="C540" s="294"/>
      <c r="D540" s="294"/>
      <c r="E540" s="294"/>
      <c r="F540" s="294"/>
      <c r="G540" s="294"/>
    </row>
    <row r="541" spans="1:79" x14ac:dyDescent="0.25">
      <c r="A541" s="285" t="s">
        <v>18</v>
      </c>
      <c r="B541" s="286"/>
      <c r="C541" s="286"/>
      <c r="D541" s="286"/>
      <c r="E541" s="286"/>
      <c r="F541" s="286"/>
      <c r="G541" s="286"/>
    </row>
    <row r="542" spans="1:79" x14ac:dyDescent="0.25">
      <c r="A542" s="287" t="s">
        <v>19</v>
      </c>
      <c r="B542" s="296"/>
      <c r="C542" s="296"/>
      <c r="D542" s="296"/>
      <c r="E542" s="296"/>
      <c r="F542" s="296"/>
      <c r="G542" s="296"/>
    </row>
    <row r="543" spans="1:79" s="81" customFormat="1" ht="17.25" customHeight="1" x14ac:dyDescent="0.25">
      <c r="A543" s="8" t="s">
        <v>179</v>
      </c>
      <c r="B543" s="32" t="s">
        <v>190</v>
      </c>
      <c r="C543" s="20">
        <v>200</v>
      </c>
      <c r="D543" s="61">
        <f>7.2/200*C543</f>
        <v>7.2000000000000011</v>
      </c>
      <c r="E543" s="61">
        <f>9.2/200*C543</f>
        <v>9.1999999999999993</v>
      </c>
      <c r="F543" s="61">
        <v>34</v>
      </c>
      <c r="G543" s="133">
        <f>287.8/200*C543</f>
        <v>287.8</v>
      </c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  <c r="AB543" s="188"/>
      <c r="AC543" s="188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  <c r="BB543" s="188"/>
      <c r="BC543" s="188"/>
      <c r="BD543" s="188"/>
      <c r="BE543" s="188"/>
      <c r="BF543" s="188"/>
      <c r="BG543" s="188"/>
      <c r="BH543" s="188"/>
      <c r="BI543" s="188"/>
      <c r="BJ543" s="188"/>
      <c r="BK543" s="188"/>
      <c r="BL543" s="188"/>
      <c r="BM543" s="188"/>
      <c r="BN543" s="188"/>
      <c r="BO543" s="188"/>
      <c r="BP543" s="188"/>
      <c r="BQ543" s="188"/>
      <c r="BR543" s="188"/>
      <c r="BS543" s="188"/>
      <c r="BT543" s="188"/>
      <c r="BU543" s="188"/>
      <c r="BV543" s="188"/>
      <c r="BW543" s="188"/>
      <c r="BX543" s="188"/>
      <c r="BY543" s="188"/>
      <c r="BZ543" s="188"/>
      <c r="CA543" s="188"/>
    </row>
    <row r="544" spans="1:79" x14ac:dyDescent="0.25">
      <c r="A544" s="8" t="s">
        <v>150</v>
      </c>
      <c r="B544" s="32" t="s">
        <v>36</v>
      </c>
      <c r="C544" s="9">
        <v>230</v>
      </c>
      <c r="D544" s="10">
        <f>3.8/200*C544</f>
        <v>4.37</v>
      </c>
      <c r="E544" s="10">
        <f>2.9/200*C544</f>
        <v>3.335</v>
      </c>
      <c r="F544" s="10">
        <f>11.3/200*C544</f>
        <v>12.995000000000001</v>
      </c>
      <c r="G544" s="10">
        <f>86/200*C544</f>
        <v>98.899999999999991</v>
      </c>
    </row>
    <row r="545" spans="1:9" x14ac:dyDescent="0.25">
      <c r="A545" s="14" t="s">
        <v>135</v>
      </c>
      <c r="B545" s="35" t="s">
        <v>22</v>
      </c>
      <c r="C545" s="6">
        <v>10</v>
      </c>
      <c r="D545" s="7">
        <f>3.5/15*C545</f>
        <v>2.3333333333333335</v>
      </c>
      <c r="E545" s="7">
        <f>4.4/15*C545</f>
        <v>2.9333333333333336</v>
      </c>
      <c r="F545" s="7">
        <v>0</v>
      </c>
      <c r="G545" s="7">
        <f>53.7/15*C545</f>
        <v>35.799999999999997</v>
      </c>
    </row>
    <row r="546" spans="1:9" x14ac:dyDescent="0.25">
      <c r="A546" s="14" t="s">
        <v>124</v>
      </c>
      <c r="B546" s="35" t="s">
        <v>23</v>
      </c>
      <c r="C546" s="6">
        <v>25</v>
      </c>
      <c r="D546" s="10">
        <f>1.5/25*C546</f>
        <v>1.5</v>
      </c>
      <c r="E546" s="10">
        <f>0.5/25*C546</f>
        <v>0.5</v>
      </c>
      <c r="F546" s="10">
        <f>10.2/25*C546</f>
        <v>10.199999999999999</v>
      </c>
      <c r="G546" s="10">
        <f>52/25*C546</f>
        <v>52</v>
      </c>
    </row>
    <row r="547" spans="1:9" x14ac:dyDescent="0.25">
      <c r="A547" s="14" t="s">
        <v>124</v>
      </c>
      <c r="B547" s="32" t="s">
        <v>24</v>
      </c>
      <c r="C547" s="16">
        <v>45</v>
      </c>
      <c r="D547" s="25">
        <f>3.4/45*C547</f>
        <v>3.4</v>
      </c>
      <c r="E547" s="25">
        <f>0.4/45*C547</f>
        <v>0.4</v>
      </c>
      <c r="F547" s="25">
        <f>22.1/45*C547</f>
        <v>22.1</v>
      </c>
      <c r="G547" s="25">
        <f>105.8/45*C547</f>
        <v>105.8</v>
      </c>
    </row>
    <row r="548" spans="1:9" x14ac:dyDescent="0.25">
      <c r="A548" s="15"/>
      <c r="B548" s="4"/>
      <c r="C548" s="16"/>
      <c r="D548" s="11"/>
      <c r="E548" s="11"/>
      <c r="F548" s="11"/>
      <c r="G548" s="11"/>
    </row>
    <row r="549" spans="1:9" x14ac:dyDescent="0.25">
      <c r="A549" s="17"/>
      <c r="B549" s="6" t="s">
        <v>25</v>
      </c>
      <c r="C549" s="17">
        <f t="shared" ref="C549:G549" si="76">SUM(C543:C547)</f>
        <v>510</v>
      </c>
      <c r="D549" s="82">
        <f t="shared" si="76"/>
        <v>18.803333333333335</v>
      </c>
      <c r="E549" s="82">
        <f t="shared" si="76"/>
        <v>16.368333333333332</v>
      </c>
      <c r="F549" s="82">
        <f t="shared" si="76"/>
        <v>79.295000000000016</v>
      </c>
      <c r="G549" s="82">
        <f t="shared" si="76"/>
        <v>580.29999999999995</v>
      </c>
    </row>
    <row r="550" spans="1:9" x14ac:dyDescent="0.25">
      <c r="A550" s="289" t="s">
        <v>26</v>
      </c>
      <c r="B550" s="297"/>
      <c r="C550" s="297"/>
      <c r="D550" s="297"/>
      <c r="E550" s="297"/>
      <c r="F550" s="297"/>
      <c r="G550" s="297"/>
    </row>
    <row r="551" spans="1:9" x14ac:dyDescent="0.25">
      <c r="A551" s="19">
        <v>9</v>
      </c>
      <c r="B551" s="201" t="s">
        <v>84</v>
      </c>
      <c r="C551" s="46">
        <v>50</v>
      </c>
      <c r="D551" s="220">
        <f>0.8/60*C551</f>
        <v>0.66666666666666674</v>
      </c>
      <c r="E551" s="220">
        <f>2/60*C551</f>
        <v>1.6666666666666667</v>
      </c>
      <c r="F551" s="220">
        <f>4.1/60*C551</f>
        <v>3.4166666666666665</v>
      </c>
      <c r="G551" s="220">
        <f>37.6/60*C551</f>
        <v>31.333333333333336</v>
      </c>
    </row>
    <row r="552" spans="1:9" x14ac:dyDescent="0.25">
      <c r="A552" s="141" t="s">
        <v>157</v>
      </c>
      <c r="B552" s="201" t="s">
        <v>52</v>
      </c>
      <c r="C552" s="46">
        <v>200</v>
      </c>
      <c r="D552" s="21">
        <f>3.23/200*C552</f>
        <v>3.2300000000000004</v>
      </c>
      <c r="E552" s="21">
        <f>5.78/200*C552</f>
        <v>5.78</v>
      </c>
      <c r="F552" s="21">
        <f>33.5/200*C552</f>
        <v>33.5</v>
      </c>
      <c r="G552" s="21">
        <f>284.1/200*C552</f>
        <v>284.10000000000002</v>
      </c>
    </row>
    <row r="553" spans="1:9" x14ac:dyDescent="0.25">
      <c r="A553" s="23" t="s">
        <v>192</v>
      </c>
      <c r="B553" s="5" t="s">
        <v>85</v>
      </c>
      <c r="C553" s="90">
        <v>150</v>
      </c>
      <c r="D553" s="61">
        <f>5.9/200*C553</f>
        <v>4.4250000000000007</v>
      </c>
      <c r="E553" s="61">
        <f>7/200*C553</f>
        <v>5.2500000000000009</v>
      </c>
      <c r="F553" s="61">
        <v>20.45</v>
      </c>
      <c r="G553" s="25">
        <v>157.22999999999999</v>
      </c>
    </row>
    <row r="554" spans="1:9" x14ac:dyDescent="0.25">
      <c r="A554" s="121" t="s">
        <v>198</v>
      </c>
      <c r="B554" s="266" t="s">
        <v>86</v>
      </c>
      <c r="C554" s="134">
        <v>100</v>
      </c>
      <c r="D554" s="106">
        <v>11.3</v>
      </c>
      <c r="E554" s="106">
        <v>9.5399999999999991</v>
      </c>
      <c r="F554" s="106">
        <f>2.6/100*C554</f>
        <v>2.6</v>
      </c>
      <c r="G554" s="106">
        <f>91.4/100*C554</f>
        <v>91.4</v>
      </c>
    </row>
    <row r="555" spans="1:9" x14ac:dyDescent="0.25">
      <c r="A555" s="4">
        <v>233</v>
      </c>
      <c r="B555" s="5" t="s">
        <v>99</v>
      </c>
      <c r="C555" s="26">
        <v>200</v>
      </c>
      <c r="D555" s="61">
        <f>0.2/200*C555</f>
        <v>0.2</v>
      </c>
      <c r="E555" s="61">
        <f>0.1/200*C555</f>
        <v>0.1</v>
      </c>
      <c r="F555" s="61">
        <f>12.3/200*C555</f>
        <v>12.3</v>
      </c>
      <c r="G555" s="133">
        <f>50.5/200*C555</f>
        <v>50.5</v>
      </c>
      <c r="H555" s="234"/>
      <c r="I555" s="234"/>
    </row>
    <row r="556" spans="1:9" x14ac:dyDescent="0.25">
      <c r="A556" s="95" t="s">
        <v>124</v>
      </c>
      <c r="B556" s="35" t="s">
        <v>23</v>
      </c>
      <c r="C556" s="6">
        <v>60</v>
      </c>
      <c r="D556" s="10">
        <f>1.5/25*C556</f>
        <v>3.5999999999999996</v>
      </c>
      <c r="E556" s="10">
        <f>0.5/25*C556</f>
        <v>1.2</v>
      </c>
      <c r="F556" s="10">
        <f>10.2/25*C556</f>
        <v>24.479999999999997</v>
      </c>
      <c r="G556" s="10">
        <f>52/25*C556</f>
        <v>124.80000000000001</v>
      </c>
    </row>
    <row r="557" spans="1:9" x14ac:dyDescent="0.25">
      <c r="A557" s="95" t="s">
        <v>124</v>
      </c>
      <c r="B557" s="32" t="s">
        <v>24</v>
      </c>
      <c r="C557" s="16">
        <v>30</v>
      </c>
      <c r="D557" s="25">
        <f>3.4/45*C557</f>
        <v>2.2666666666666666</v>
      </c>
      <c r="E557" s="25">
        <f>0.4/45*C557</f>
        <v>0.26666666666666666</v>
      </c>
      <c r="F557" s="25">
        <f>22.1/45*C557</f>
        <v>14.733333333333334</v>
      </c>
      <c r="G557" s="25">
        <f>105.8/45*C557</f>
        <v>70.533333333333331</v>
      </c>
    </row>
    <row r="558" spans="1:9" x14ac:dyDescent="0.25">
      <c r="A558" s="95"/>
      <c r="B558" s="243"/>
      <c r="C558" s="263"/>
      <c r="D558" s="42"/>
      <c r="E558" s="42"/>
      <c r="F558" s="42"/>
      <c r="G558" s="42"/>
    </row>
    <row r="559" spans="1:9" x14ac:dyDescent="0.25">
      <c r="A559" s="4"/>
      <c r="B559" s="71" t="s">
        <v>29</v>
      </c>
      <c r="C559" s="98">
        <f t="shared" ref="C559:G559" si="77">SUM(C551:C557)</f>
        <v>790</v>
      </c>
      <c r="D559" s="75">
        <f t="shared" si="77"/>
        <v>25.688333333333333</v>
      </c>
      <c r="E559" s="71">
        <f t="shared" si="77"/>
        <v>23.803333333333335</v>
      </c>
      <c r="F559" s="71">
        <f t="shared" si="77"/>
        <v>111.48</v>
      </c>
      <c r="G559" s="75">
        <f t="shared" si="77"/>
        <v>809.89666666666653</v>
      </c>
    </row>
    <row r="560" spans="1:9" x14ac:dyDescent="0.25">
      <c r="A560" s="298" t="s">
        <v>30</v>
      </c>
      <c r="B560" s="299"/>
      <c r="C560" s="299"/>
      <c r="D560" s="299"/>
      <c r="E560" s="299"/>
      <c r="F560" s="299"/>
      <c r="G560" s="299"/>
    </row>
    <row r="561" spans="1:7" x14ac:dyDescent="0.25">
      <c r="A561" s="8" t="s">
        <v>124</v>
      </c>
      <c r="B561" s="32" t="s">
        <v>54</v>
      </c>
      <c r="C561" s="28">
        <v>200</v>
      </c>
      <c r="D561" s="56">
        <f>0.6/200*C561</f>
        <v>0.6</v>
      </c>
      <c r="E561" s="56">
        <f>0.4/200*C561</f>
        <v>0.4</v>
      </c>
      <c r="F561" s="56">
        <f>23.2/200*C561</f>
        <v>23.2</v>
      </c>
      <c r="G561" s="56">
        <f>100/200*C561</f>
        <v>100</v>
      </c>
    </row>
    <row r="562" spans="1:7" x14ac:dyDescent="0.25">
      <c r="A562" s="8" t="s">
        <v>124</v>
      </c>
      <c r="B562" s="32" t="s">
        <v>92</v>
      </c>
      <c r="C562" s="28">
        <v>100</v>
      </c>
      <c r="D562" s="56">
        <f>4.5/60*C562</f>
        <v>7.5</v>
      </c>
      <c r="E562" s="56">
        <v>9.25</v>
      </c>
      <c r="F562" s="56">
        <v>21.3</v>
      </c>
      <c r="G562" s="56">
        <v>162</v>
      </c>
    </row>
    <row r="563" spans="1:7" x14ac:dyDescent="0.25">
      <c r="A563" s="4"/>
      <c r="B563" s="4"/>
      <c r="C563" s="29"/>
      <c r="D563" s="30"/>
      <c r="E563" s="30"/>
      <c r="F563" s="30"/>
      <c r="G563" s="30"/>
    </row>
    <row r="564" spans="1:7" x14ac:dyDescent="0.25">
      <c r="A564" s="4"/>
      <c r="B564" s="28" t="s">
        <v>32</v>
      </c>
      <c r="C564" s="29">
        <f>SUM(C561:C562)</f>
        <v>300</v>
      </c>
      <c r="D564" s="30">
        <f>SUM(D561:D562)</f>
        <v>8.1</v>
      </c>
      <c r="E564" s="30">
        <f t="shared" ref="E564:G564" si="78">SUM(E561:E562)</f>
        <v>9.65</v>
      </c>
      <c r="F564" s="30">
        <f t="shared" si="78"/>
        <v>44.5</v>
      </c>
      <c r="G564" s="30">
        <f t="shared" si="78"/>
        <v>262</v>
      </c>
    </row>
    <row r="565" spans="1:7" x14ac:dyDescent="0.25">
      <c r="A565" s="4"/>
      <c r="B565" s="28" t="s">
        <v>33</v>
      </c>
      <c r="C565" s="29">
        <f t="shared" ref="C565:G565" si="79">C564+C559+C549</f>
        <v>1600</v>
      </c>
      <c r="D565" s="30">
        <f t="shared" si="79"/>
        <v>52.591666666666669</v>
      </c>
      <c r="E565" s="29">
        <f t="shared" si="79"/>
        <v>49.821666666666665</v>
      </c>
      <c r="F565" s="29">
        <f t="shared" si="79"/>
        <v>235.27500000000003</v>
      </c>
      <c r="G565" s="29">
        <f t="shared" si="79"/>
        <v>1652.1966666666665</v>
      </c>
    </row>
    <row r="566" spans="1:7" s="1" customFormat="1" x14ac:dyDescent="0.25"/>
    <row r="567" spans="1:7" s="1" customFormat="1" x14ac:dyDescent="0.25"/>
    <row r="568" spans="1:7" s="1" customFormat="1" x14ac:dyDescent="0.25">
      <c r="B568" s="1" t="s">
        <v>196</v>
      </c>
    </row>
    <row r="569" spans="1:7" s="1" customFormat="1" x14ac:dyDescent="0.25"/>
    <row r="570" spans="1:7" s="1" customFormat="1" x14ac:dyDescent="0.25"/>
    <row r="571" spans="1:7" s="1" customFormat="1" x14ac:dyDescent="0.25"/>
    <row r="572" spans="1:7" s="1" customFormat="1" x14ac:dyDescent="0.25"/>
    <row r="573" spans="1:7" s="1" customFormat="1" x14ac:dyDescent="0.25"/>
    <row r="574" spans="1:7" s="1" customFormat="1" x14ac:dyDescent="0.25"/>
    <row r="575" spans="1:7" s="1" customFormat="1" x14ac:dyDescent="0.25"/>
    <row r="576" spans="1:7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</sheetData>
  <mergeCells count="133">
    <mergeCell ref="A7:G7"/>
    <mergeCell ref="A8:G8"/>
    <mergeCell ref="A9:G9"/>
    <mergeCell ref="A37:G37"/>
    <mergeCell ref="A38:G38"/>
    <mergeCell ref="A39:G39"/>
    <mergeCell ref="A47:G47"/>
    <mergeCell ref="A10:G10"/>
    <mergeCell ref="A19:G19"/>
    <mergeCell ref="A30:G30"/>
    <mergeCell ref="A36:G36"/>
    <mergeCell ref="A91:G91"/>
    <mergeCell ref="A92:G92"/>
    <mergeCell ref="A93:G93"/>
    <mergeCell ref="A94:G94"/>
    <mergeCell ref="A64:G64"/>
    <mergeCell ref="A65:G65"/>
    <mergeCell ref="A66:G66"/>
    <mergeCell ref="A67:G67"/>
    <mergeCell ref="A75:G75"/>
    <mergeCell ref="A177:G177"/>
    <mergeCell ref="A123:G123"/>
    <mergeCell ref="A132:G132"/>
    <mergeCell ref="B142:G142"/>
    <mergeCell ref="A148:G148"/>
    <mergeCell ref="A149:G149"/>
    <mergeCell ref="A102:G102"/>
    <mergeCell ref="B114:G114"/>
    <mergeCell ref="A120:G120"/>
    <mergeCell ref="A121:G121"/>
    <mergeCell ref="A122:G122"/>
    <mergeCell ref="A295:G295"/>
    <mergeCell ref="A296:G296"/>
    <mergeCell ref="A297:G297"/>
    <mergeCell ref="A305:G305"/>
    <mergeCell ref="A314:G314"/>
    <mergeCell ref="A270:G270"/>
    <mergeCell ref="B281:G281"/>
    <mergeCell ref="A58:G58"/>
    <mergeCell ref="A85:G85"/>
    <mergeCell ref="A103:G103"/>
    <mergeCell ref="A294:G294"/>
    <mergeCell ref="A253:G253"/>
    <mergeCell ref="A259:G259"/>
    <mergeCell ref="A260:G260"/>
    <mergeCell ref="A261:G261"/>
    <mergeCell ref="A262:G262"/>
    <mergeCell ref="A231:G231"/>
    <mergeCell ref="A232:G232"/>
    <mergeCell ref="A233:G233"/>
    <mergeCell ref="A234:G234"/>
    <mergeCell ref="A242:G242"/>
    <mergeCell ref="A205:G205"/>
    <mergeCell ref="A206:G206"/>
    <mergeCell ref="A207:G207"/>
    <mergeCell ref="A341:G341"/>
    <mergeCell ref="A347:G347"/>
    <mergeCell ref="A348:G348"/>
    <mergeCell ref="A349:G349"/>
    <mergeCell ref="A350:G350"/>
    <mergeCell ref="A320:G320"/>
    <mergeCell ref="A321:G321"/>
    <mergeCell ref="A322:G322"/>
    <mergeCell ref="A323:G323"/>
    <mergeCell ref="A331:G331"/>
    <mergeCell ref="A378:G378"/>
    <mergeCell ref="A386:G386"/>
    <mergeCell ref="A396:G396"/>
    <mergeCell ref="A402:G402"/>
    <mergeCell ref="A403:G403"/>
    <mergeCell ref="A358:G358"/>
    <mergeCell ref="A369:G369"/>
    <mergeCell ref="A375:G375"/>
    <mergeCell ref="A376:G376"/>
    <mergeCell ref="A377:G377"/>
    <mergeCell ref="A432:G432"/>
    <mergeCell ref="A433:G433"/>
    <mergeCell ref="A441:G441"/>
    <mergeCell ref="A451:G451"/>
    <mergeCell ref="A457:G457"/>
    <mergeCell ref="A404:G404"/>
    <mergeCell ref="A405:G405"/>
    <mergeCell ref="A413:G413"/>
    <mergeCell ref="A424:G424"/>
    <mergeCell ref="A430:G430"/>
    <mergeCell ref="A431:G431"/>
    <mergeCell ref="A484:G484"/>
    <mergeCell ref="A485:G485"/>
    <mergeCell ref="A486:G486"/>
    <mergeCell ref="A487:G487"/>
    <mergeCell ref="A495:G495"/>
    <mergeCell ref="A458:G458"/>
    <mergeCell ref="A459:G459"/>
    <mergeCell ref="A460:G460"/>
    <mergeCell ref="A468:G468"/>
    <mergeCell ref="A478:G478"/>
    <mergeCell ref="A542:G542"/>
    <mergeCell ref="A550:G550"/>
    <mergeCell ref="A560:G560"/>
    <mergeCell ref="A523:G523"/>
    <mergeCell ref="A533:G533"/>
    <mergeCell ref="A539:G539"/>
    <mergeCell ref="A540:G540"/>
    <mergeCell ref="A541:G541"/>
    <mergeCell ref="A506:G506"/>
    <mergeCell ref="A512:G512"/>
    <mergeCell ref="A513:G513"/>
    <mergeCell ref="A514:G514"/>
    <mergeCell ref="A515:G515"/>
    <mergeCell ref="A1:G1"/>
    <mergeCell ref="B5:B6"/>
    <mergeCell ref="A5:A6"/>
    <mergeCell ref="C5:C6"/>
    <mergeCell ref="G5:G6"/>
    <mergeCell ref="D5:F5"/>
    <mergeCell ref="A288:G288"/>
    <mergeCell ref="A292:A293"/>
    <mergeCell ref="B292:B293"/>
    <mergeCell ref="C292:C293"/>
    <mergeCell ref="D292:F292"/>
    <mergeCell ref="G292:G293"/>
    <mergeCell ref="A215:G215"/>
    <mergeCell ref="A225:G225"/>
    <mergeCell ref="A178:G178"/>
    <mergeCell ref="A179:G179"/>
    <mergeCell ref="A188:G188"/>
    <mergeCell ref="A198:G198"/>
    <mergeCell ref="A204:G204"/>
    <mergeCell ref="A150:G150"/>
    <mergeCell ref="A151:G151"/>
    <mergeCell ref="A159:G159"/>
    <mergeCell ref="A170:G170"/>
    <mergeCell ref="A176:G17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5"/>
  <sheetViews>
    <sheetView topLeftCell="A283" workbookViewId="0">
      <selection activeCell="A262" sqref="A262:T287"/>
    </sheetView>
  </sheetViews>
  <sheetFormatPr defaultRowHeight="15" x14ac:dyDescent="0.25"/>
  <cols>
    <col min="2" max="2" width="31" customWidth="1"/>
    <col min="3" max="3" width="4.7109375" customWidth="1"/>
    <col min="4" max="4" width="7.42578125" customWidth="1"/>
    <col min="5" max="5" width="6.140625" customWidth="1"/>
    <col min="6" max="6" width="7.5703125" customWidth="1"/>
    <col min="7" max="7" width="7.42578125" customWidth="1"/>
    <col min="8" max="8" width="0.140625" customWidth="1"/>
    <col min="9" max="19" width="4.7109375" hidden="1" customWidth="1"/>
    <col min="20" max="20" width="0.140625" customWidth="1"/>
  </cols>
  <sheetData>
    <row r="1" spans="1:20" ht="23.25" x14ac:dyDescent="0.35">
      <c r="A1" s="272" t="s">
        <v>116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306" t="s">
        <v>117</v>
      </c>
      <c r="N1" s="306"/>
      <c r="O1" s="306"/>
      <c r="P1" s="306"/>
      <c r="Q1" s="306"/>
      <c r="R1" s="306"/>
      <c r="S1" s="306"/>
      <c r="T1" s="306"/>
    </row>
    <row r="2" spans="1:20" x14ac:dyDescent="0.25">
      <c r="M2" s="306"/>
      <c r="N2" s="306"/>
      <c r="O2" s="306"/>
      <c r="P2" s="306"/>
      <c r="Q2" s="306"/>
      <c r="R2" s="306"/>
      <c r="S2" s="306"/>
      <c r="T2" s="306"/>
    </row>
    <row r="3" spans="1:20" x14ac:dyDescent="0.25">
      <c r="A3" s="236" t="s">
        <v>119</v>
      </c>
      <c r="M3" s="306"/>
      <c r="N3" s="306"/>
      <c r="O3" s="306"/>
      <c r="P3" s="306"/>
      <c r="Q3" s="306"/>
      <c r="R3" s="306"/>
      <c r="S3" s="306"/>
      <c r="T3" s="306"/>
    </row>
    <row r="4" spans="1:20" x14ac:dyDescent="0.25">
      <c r="A4" s="236" t="s">
        <v>118</v>
      </c>
      <c r="E4" s="237"/>
      <c r="F4" s="237"/>
      <c r="G4" s="237"/>
      <c r="H4" s="238"/>
      <c r="I4" s="237"/>
      <c r="J4" s="237"/>
      <c r="K4" s="237"/>
      <c r="L4" s="238"/>
      <c r="M4" s="238"/>
      <c r="N4" s="238"/>
      <c r="O4" s="238"/>
      <c r="P4" s="237"/>
      <c r="Q4" s="237"/>
      <c r="R4" s="237"/>
    </row>
    <row r="5" spans="1:20" x14ac:dyDescent="0.25">
      <c r="A5" s="275" t="s">
        <v>108</v>
      </c>
      <c r="B5" s="273" t="s">
        <v>109</v>
      </c>
      <c r="C5" s="277" t="s">
        <v>110</v>
      </c>
      <c r="D5" s="279" t="s">
        <v>111</v>
      </c>
      <c r="E5" s="279"/>
      <c r="F5" s="279"/>
      <c r="G5" s="278" t="s">
        <v>112</v>
      </c>
      <c r="H5" s="279" t="s">
        <v>113</v>
      </c>
      <c r="I5" s="279"/>
      <c r="J5" s="279"/>
      <c r="K5" s="279"/>
      <c r="L5" s="279"/>
      <c r="M5" s="279" t="s">
        <v>114</v>
      </c>
      <c r="N5" s="279"/>
      <c r="O5" s="279"/>
      <c r="P5" s="279"/>
      <c r="Q5" s="279"/>
      <c r="R5" s="279"/>
      <c r="S5" s="279"/>
      <c r="T5" s="279"/>
    </row>
    <row r="6" spans="1:20" ht="30" x14ac:dyDescent="0.25">
      <c r="A6" s="276"/>
      <c r="B6" s="274"/>
      <c r="C6" s="277"/>
      <c r="D6" s="267" t="s">
        <v>0</v>
      </c>
      <c r="E6" s="267" t="s">
        <v>1</v>
      </c>
      <c r="F6" s="267" t="s">
        <v>2</v>
      </c>
      <c r="G6" s="278"/>
      <c r="H6" s="267" t="s">
        <v>3</v>
      </c>
      <c r="I6" s="267" t="s">
        <v>4</v>
      </c>
      <c r="J6" s="267" t="s">
        <v>5</v>
      </c>
      <c r="K6" s="267" t="s">
        <v>6</v>
      </c>
      <c r="L6" s="267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</row>
    <row r="7" spans="1:20" x14ac:dyDescent="0.25">
      <c r="A7" s="293" t="s">
        <v>16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307"/>
    </row>
    <row r="8" spans="1:20" x14ac:dyDescent="0.25">
      <c r="A8" s="293" t="s">
        <v>17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307"/>
    </row>
    <row r="9" spans="1:20" x14ac:dyDescent="0.25">
      <c r="A9" s="285" t="s">
        <v>18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308"/>
    </row>
    <row r="10" spans="1:20" x14ac:dyDescent="0.25">
      <c r="A10" s="287" t="s">
        <v>19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311"/>
    </row>
    <row r="11" spans="1:20" ht="15" customHeight="1" x14ac:dyDescent="0.25">
      <c r="A11" s="69" t="s">
        <v>121</v>
      </c>
      <c r="B11" s="32" t="s">
        <v>120</v>
      </c>
      <c r="C11" s="20">
        <v>200</v>
      </c>
      <c r="D11" s="25">
        <v>1.2</v>
      </c>
      <c r="E11" s="25">
        <v>10.8</v>
      </c>
      <c r="F11" s="25">
        <f>28.7/200*C11</f>
        <v>28.7</v>
      </c>
      <c r="G11" s="25">
        <f>184.5/200*C11</f>
        <v>184.5</v>
      </c>
      <c r="H11" s="25">
        <f>0.05/200*C11</f>
        <v>0.05</v>
      </c>
      <c r="I11" s="25">
        <f>0.15/200*C11</f>
        <v>0.15</v>
      </c>
      <c r="J11" s="25">
        <f>26.4/200*C11</f>
        <v>26.400000000000002</v>
      </c>
      <c r="K11" s="25">
        <f>0.05/200*C11</f>
        <v>0.05</v>
      </c>
      <c r="L11" s="25">
        <f>61/200*C11</f>
        <v>61</v>
      </c>
      <c r="M11" s="25">
        <f>170/200*C11</f>
        <v>170</v>
      </c>
      <c r="N11" s="25">
        <f>149/200*C11</f>
        <v>149</v>
      </c>
      <c r="O11" s="25">
        <f>28/200*C11</f>
        <v>28.000000000000004</v>
      </c>
      <c r="P11" s="25">
        <f>134/200*C11</f>
        <v>134</v>
      </c>
      <c r="Q11" s="25">
        <f>42/200*C11</f>
        <v>42</v>
      </c>
      <c r="R11" s="25">
        <f>51/200*C11</f>
        <v>51</v>
      </c>
      <c r="S11" s="86">
        <f>6.2/200*C11</f>
        <v>6.2</v>
      </c>
      <c r="T11" s="25">
        <f>39/200*C11</f>
        <v>39</v>
      </c>
    </row>
    <row r="12" spans="1:20" ht="15" customHeight="1" x14ac:dyDescent="0.25">
      <c r="A12" s="8" t="s">
        <v>123</v>
      </c>
      <c r="B12" s="32" t="s">
        <v>122</v>
      </c>
      <c r="C12" s="9">
        <v>200</v>
      </c>
      <c r="D12" s="10">
        <f>1.6/200*C12</f>
        <v>1.6</v>
      </c>
      <c r="E12" s="10">
        <f>1.1/200*C12</f>
        <v>1.1000000000000001</v>
      </c>
      <c r="F12" s="10">
        <f>8.7/200*C12</f>
        <v>8.6999999999999993</v>
      </c>
      <c r="G12" s="10">
        <f>50.9/200*C12</f>
        <v>50.9</v>
      </c>
      <c r="H12" s="10">
        <f>0.01/200*C12</f>
        <v>0.01</v>
      </c>
      <c r="I12" s="10">
        <f>0.07/200*C12</f>
        <v>7.0000000000000007E-2</v>
      </c>
      <c r="J12" s="10">
        <f>6.9/200*C12</f>
        <v>6.9</v>
      </c>
      <c r="K12" s="10">
        <v>0</v>
      </c>
      <c r="L12" s="10">
        <f>0.3/200*C12</f>
        <v>0.3</v>
      </c>
      <c r="M12" s="21">
        <f>81.3/200*C12</f>
        <v>81.3</v>
      </c>
      <c r="N12" s="10">
        <f>57/200*C12</f>
        <v>56.999999999999993</v>
      </c>
      <c r="O12" s="10">
        <f>9.9/200*C12</f>
        <v>9.9</v>
      </c>
      <c r="P12" s="10">
        <f>46/200*C12</f>
        <v>46</v>
      </c>
      <c r="Q12" s="10">
        <f>0.77/200*C12</f>
        <v>0.77</v>
      </c>
      <c r="R12" s="10">
        <f>4.5/200*C12</f>
        <v>4.5</v>
      </c>
      <c r="S12" s="172">
        <f>0.88/200*C12</f>
        <v>0.88</v>
      </c>
      <c r="T12" s="10">
        <f>10/200*C12</f>
        <v>10</v>
      </c>
    </row>
    <row r="13" spans="1:20" ht="15" customHeight="1" x14ac:dyDescent="0.25">
      <c r="A13" s="4" t="s">
        <v>191</v>
      </c>
      <c r="B13" s="35" t="s">
        <v>21</v>
      </c>
      <c r="C13" s="6">
        <v>10</v>
      </c>
      <c r="D13" s="61">
        <f>10/10*C13</f>
        <v>10</v>
      </c>
      <c r="E13" s="61">
        <f>0.1/10*C13</f>
        <v>0.1</v>
      </c>
      <c r="F13" s="61">
        <f>7.2/10*C13</f>
        <v>7.1999999999999993</v>
      </c>
      <c r="G13" s="61">
        <f>1/10*C13</f>
        <v>1</v>
      </c>
      <c r="H13" s="61">
        <f>66.1/10*C13</f>
        <v>66.099999999999994</v>
      </c>
      <c r="I13" s="140">
        <f>0.01/10*C13</f>
        <v>0.01</v>
      </c>
      <c r="J13" s="61">
        <f>45/10*C13</f>
        <v>45</v>
      </c>
      <c r="K13" s="93">
        <f>0.13/10*C13</f>
        <v>0.13</v>
      </c>
      <c r="L13" s="93">
        <v>0</v>
      </c>
      <c r="M13" s="93">
        <f>3/10*C13</f>
        <v>3</v>
      </c>
      <c r="N13" s="93">
        <f>2.4/10*C13</f>
        <v>2.4</v>
      </c>
      <c r="O13" s="61">
        <v>0</v>
      </c>
      <c r="P13" s="61">
        <f>3/10*C13</f>
        <v>3</v>
      </c>
      <c r="Q13" s="93">
        <f>0.02/10*C13</f>
        <v>0.02</v>
      </c>
      <c r="R13" s="94">
        <v>0</v>
      </c>
      <c r="S13" s="180">
        <f>0.1/10*C13</f>
        <v>0.1</v>
      </c>
      <c r="T13" s="61">
        <f>0.3/10*C13</f>
        <v>0.3</v>
      </c>
    </row>
    <row r="14" spans="1:20" ht="15" customHeight="1" x14ac:dyDescent="0.25">
      <c r="A14" s="14" t="s">
        <v>124</v>
      </c>
      <c r="B14" s="35" t="s">
        <v>23</v>
      </c>
      <c r="C14" s="6">
        <v>30</v>
      </c>
      <c r="D14" s="10">
        <f>1.5/25*C14</f>
        <v>1.7999999999999998</v>
      </c>
      <c r="E14" s="10">
        <f>0.5/25*C14</f>
        <v>0.6</v>
      </c>
      <c r="F14" s="10">
        <f>10.2/25*C14</f>
        <v>12.239999999999998</v>
      </c>
      <c r="G14" s="10">
        <f>52/25*C14</f>
        <v>62.400000000000006</v>
      </c>
      <c r="H14" s="10">
        <f>0.1/25*C14</f>
        <v>0.12</v>
      </c>
      <c r="I14" s="10">
        <f>0.08/25*C14</f>
        <v>9.6000000000000002E-2</v>
      </c>
      <c r="J14" s="10">
        <v>0</v>
      </c>
      <c r="K14" s="10">
        <v>0</v>
      </c>
      <c r="L14" s="10">
        <f>0.1/25*C14</f>
        <v>0.12</v>
      </c>
      <c r="M14" s="10">
        <f>41.5/25*C14</f>
        <v>49.8</v>
      </c>
      <c r="N14" s="10">
        <f>19.75/25*C14</f>
        <v>23.700000000000003</v>
      </c>
      <c r="O14" s="10">
        <f>10/25*C14</f>
        <v>12</v>
      </c>
      <c r="P14" s="10">
        <f>31.25/25*C14</f>
        <v>37.5</v>
      </c>
      <c r="Q14" s="10">
        <f>10/25*C14</f>
        <v>12</v>
      </c>
      <c r="R14" s="10">
        <f>0.7/25*C14</f>
        <v>0.83999999999999986</v>
      </c>
      <c r="S14" s="172">
        <f>7.73/25*C14</f>
        <v>9.2760000000000016</v>
      </c>
      <c r="T14" s="10">
        <f>12.75/25*C14</f>
        <v>15.3</v>
      </c>
    </row>
    <row r="15" spans="1:20" ht="15" customHeight="1" x14ac:dyDescent="0.25">
      <c r="A15" s="14" t="s">
        <v>124</v>
      </c>
      <c r="B15" s="32" t="s">
        <v>24</v>
      </c>
      <c r="C15" s="16">
        <v>40</v>
      </c>
      <c r="D15" s="25">
        <f>3.4/45*C15</f>
        <v>3.0222222222222221</v>
      </c>
      <c r="E15" s="25">
        <f>0.4/45*C15</f>
        <v>0.35555555555555557</v>
      </c>
      <c r="F15" s="25">
        <f>22.1/45*C15</f>
        <v>19.644444444444446</v>
      </c>
      <c r="G15" s="25">
        <f>105.8/45*C15</f>
        <v>94.044444444444437</v>
      </c>
      <c r="H15" s="25">
        <f>0.05/45*C15</f>
        <v>4.4444444444444446E-2</v>
      </c>
      <c r="I15" s="25">
        <f>0.01/45*C15</f>
        <v>8.8888888888888889E-3</v>
      </c>
      <c r="J15" s="25">
        <v>0</v>
      </c>
      <c r="K15" s="25">
        <v>0</v>
      </c>
      <c r="L15" s="25">
        <v>0</v>
      </c>
      <c r="M15" s="25">
        <f>46.5/45*C15</f>
        <v>41.333333333333336</v>
      </c>
      <c r="N15" s="27">
        <f>10/45*C15</f>
        <v>8.8888888888888893</v>
      </c>
      <c r="O15" s="27">
        <f>7/45*C15</f>
        <v>6.2222222222222223</v>
      </c>
      <c r="P15" s="27">
        <f>32.5/45*C15</f>
        <v>28.888888888888889</v>
      </c>
      <c r="Q15" s="27">
        <f>1.6/45*C15</f>
        <v>1.4222222222222223</v>
      </c>
      <c r="R15" s="27">
        <f>0.55/45*C15</f>
        <v>0.48888888888888893</v>
      </c>
      <c r="S15" s="166">
        <f>3/45*C15</f>
        <v>2.6666666666666665</v>
      </c>
      <c r="T15" s="27">
        <f>7.5/45*C15</f>
        <v>6.6666666666666661</v>
      </c>
    </row>
    <row r="16" spans="1:20" ht="15" customHeight="1" x14ac:dyDescent="0.25">
      <c r="A16" s="14" t="s">
        <v>124</v>
      </c>
      <c r="B16" s="32" t="s">
        <v>107</v>
      </c>
      <c r="C16" s="16">
        <v>100</v>
      </c>
      <c r="D16" s="25">
        <v>0.1</v>
      </c>
      <c r="E16" s="25">
        <f>4/100*C16</f>
        <v>4</v>
      </c>
      <c r="F16" s="25">
        <f>0.8/100*C16</f>
        <v>0.8</v>
      </c>
      <c r="G16" s="25">
        <v>84.6</v>
      </c>
      <c r="H16" s="25">
        <f>0.03/100*C16</f>
        <v>0.03</v>
      </c>
      <c r="I16" s="25">
        <f>0.02/100*C16</f>
        <v>0.02</v>
      </c>
      <c r="J16" s="25">
        <f>5/100*C16</f>
        <v>5</v>
      </c>
      <c r="K16" s="25">
        <v>0</v>
      </c>
      <c r="L16" s="25">
        <f>10/100*C16</f>
        <v>10</v>
      </c>
      <c r="M16" s="25">
        <f>278/100*C16</f>
        <v>278</v>
      </c>
      <c r="N16" s="27">
        <f>16/100*C16</f>
        <v>16</v>
      </c>
      <c r="O16" s="27">
        <f>9/100*C16</f>
        <v>9</v>
      </c>
      <c r="P16" s="27">
        <f>11/100*C16</f>
        <v>11</v>
      </c>
      <c r="Q16" s="27">
        <f>2/100*C16</f>
        <v>2</v>
      </c>
      <c r="R16" s="27">
        <f>22.2/100*C16</f>
        <v>22.2</v>
      </c>
      <c r="S16" s="166">
        <f>0.3/100*C16</f>
        <v>0.3</v>
      </c>
      <c r="T16" s="27">
        <f>1/100*C16</f>
        <v>1</v>
      </c>
    </row>
    <row r="17" spans="1:20" ht="15" customHeight="1" x14ac:dyDescent="0.25">
      <c r="A17" s="15"/>
      <c r="B17" s="4"/>
      <c r="C17" s="1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27"/>
      <c r="P17" s="27"/>
      <c r="Q17" s="27"/>
      <c r="R17" s="27"/>
      <c r="S17" s="166"/>
      <c r="T17" s="27"/>
    </row>
    <row r="18" spans="1:20" ht="15" customHeight="1" x14ac:dyDescent="0.25">
      <c r="A18" s="17"/>
      <c r="B18" s="6" t="s">
        <v>25</v>
      </c>
      <c r="C18" s="17">
        <f t="shared" ref="C18:T18" si="0">SUM(C11:C16)</f>
        <v>580</v>
      </c>
      <c r="D18" s="82">
        <f t="shared" si="0"/>
        <v>17.722222222222225</v>
      </c>
      <c r="E18" s="82">
        <f t="shared" si="0"/>
        <v>16.955555555555556</v>
      </c>
      <c r="F18" s="82">
        <f t="shared" si="0"/>
        <v>77.284444444444432</v>
      </c>
      <c r="G18" s="82">
        <f t="shared" si="0"/>
        <v>477.44444444444446</v>
      </c>
      <c r="H18" s="82">
        <f t="shared" si="0"/>
        <v>66.354444444444454</v>
      </c>
      <c r="I18" s="82">
        <f t="shared" si="0"/>
        <v>0.35488888888888892</v>
      </c>
      <c r="J18" s="82">
        <f t="shared" si="0"/>
        <v>83.300000000000011</v>
      </c>
      <c r="K18" s="82">
        <f t="shared" si="0"/>
        <v>0.18</v>
      </c>
      <c r="L18" s="82">
        <f t="shared" si="0"/>
        <v>71.419999999999987</v>
      </c>
      <c r="M18" s="82">
        <f t="shared" si="0"/>
        <v>623.43333333333339</v>
      </c>
      <c r="N18" s="82">
        <f t="shared" si="0"/>
        <v>256.98888888888894</v>
      </c>
      <c r="O18" s="83">
        <f t="shared" si="0"/>
        <v>65.122222222222234</v>
      </c>
      <c r="P18" s="83">
        <f t="shared" si="0"/>
        <v>260.38888888888891</v>
      </c>
      <c r="Q18" s="83">
        <f t="shared" si="0"/>
        <v>58.212222222222231</v>
      </c>
      <c r="R18" s="83">
        <f t="shared" si="0"/>
        <v>79.028888888888886</v>
      </c>
      <c r="S18" s="158">
        <f t="shared" si="0"/>
        <v>19.422666666666672</v>
      </c>
      <c r="T18" s="83">
        <f t="shared" si="0"/>
        <v>72.266666666666666</v>
      </c>
    </row>
    <row r="19" spans="1:20" ht="15" customHeight="1" x14ac:dyDescent="0.25">
      <c r="A19" s="289" t="s">
        <v>26</v>
      </c>
      <c r="B19" s="297"/>
      <c r="C19" s="297"/>
      <c r="D19" s="297"/>
      <c r="E19" s="297"/>
      <c r="F19" s="297"/>
      <c r="G19" s="297"/>
      <c r="H19" s="312"/>
      <c r="I19" s="312"/>
      <c r="J19" s="312"/>
      <c r="K19" s="312"/>
      <c r="L19" s="312"/>
      <c r="M19" s="313"/>
      <c r="N19" s="313"/>
      <c r="O19" s="313"/>
      <c r="P19" s="313"/>
      <c r="Q19" s="313"/>
      <c r="R19" s="313"/>
      <c r="S19" s="313"/>
      <c r="T19" s="314"/>
    </row>
    <row r="20" spans="1:20" ht="15" customHeight="1" x14ac:dyDescent="0.25">
      <c r="A20" s="8" t="s">
        <v>126</v>
      </c>
      <c r="B20" s="5" t="s">
        <v>125</v>
      </c>
      <c r="C20" s="24">
        <v>60</v>
      </c>
      <c r="D20" s="25">
        <f>0.5/60*C20</f>
        <v>0.5</v>
      </c>
      <c r="E20" s="11">
        <f>0.1/60*C20</f>
        <v>0.1</v>
      </c>
      <c r="F20" s="11">
        <f>1.5/60*C20</f>
        <v>1.5</v>
      </c>
      <c r="G20" s="245">
        <f>8.5/60*C20</f>
        <v>8.5</v>
      </c>
      <c r="H20" s="246">
        <f>0.02/60*C20</f>
        <v>0.02</v>
      </c>
      <c r="I20" s="246">
        <f>0.02/60*C20</f>
        <v>0.02</v>
      </c>
      <c r="J20" s="246">
        <f>6/60*C20</f>
        <v>6</v>
      </c>
      <c r="K20" s="246">
        <v>0</v>
      </c>
      <c r="L20" s="246">
        <f>6/60*C20</f>
        <v>6</v>
      </c>
      <c r="M20" s="246">
        <f>85/60*C20</f>
        <v>85</v>
      </c>
      <c r="N20" s="246">
        <f>14/60*C20</f>
        <v>14</v>
      </c>
      <c r="O20" s="246">
        <f>8.4/60*C20</f>
        <v>8.4</v>
      </c>
      <c r="P20" s="246">
        <f>25/60*C20</f>
        <v>25</v>
      </c>
      <c r="Q20" s="246">
        <f>0.36/60*C20</f>
        <v>0.36</v>
      </c>
      <c r="R20" s="246">
        <f>1.8/60*C20</f>
        <v>1.8</v>
      </c>
      <c r="S20" s="247">
        <f>0.18/60*C20</f>
        <v>0.18</v>
      </c>
      <c r="T20" s="72">
        <f>10/60*C20</f>
        <v>10</v>
      </c>
    </row>
    <row r="21" spans="1:20" ht="15" customHeight="1" x14ac:dyDescent="0.25">
      <c r="A21" s="268" t="s">
        <v>128</v>
      </c>
      <c r="B21" s="88" t="s">
        <v>70</v>
      </c>
      <c r="C21" s="28">
        <v>200</v>
      </c>
      <c r="D21" s="21">
        <f>4.7/200*C21</f>
        <v>4.7</v>
      </c>
      <c r="E21" s="56">
        <f>5.7/200*C21</f>
        <v>5.7</v>
      </c>
      <c r="F21" s="56">
        <f>10.1/200*C21</f>
        <v>10.1</v>
      </c>
      <c r="G21" s="139">
        <f>110.4/200*C21</f>
        <v>110.4</v>
      </c>
      <c r="H21" s="15">
        <f>0.03/200*C21</f>
        <v>0.03</v>
      </c>
      <c r="I21" s="15">
        <f>0.04/200*C21</f>
        <v>0.04</v>
      </c>
      <c r="J21" s="15">
        <f>134.6/200*C21</f>
        <v>134.6</v>
      </c>
      <c r="K21" s="15">
        <v>0</v>
      </c>
      <c r="L21" s="15">
        <f>6.76/200*C21</f>
        <v>6.76</v>
      </c>
      <c r="M21" s="15">
        <f>246.6/200*C21</f>
        <v>246.59999999999997</v>
      </c>
      <c r="N21" s="15">
        <f>33.6/200*C21</f>
        <v>33.6</v>
      </c>
      <c r="O21" s="15">
        <f>19.2/200*C21</f>
        <v>19.2</v>
      </c>
      <c r="P21" s="15">
        <f>42.6/200*C21</f>
        <v>42.6</v>
      </c>
      <c r="Q21" s="15">
        <f>0.87/200*C21</f>
        <v>0.86999999999999988</v>
      </c>
      <c r="R21" s="15">
        <f>17.2/200*C21</f>
        <v>17.2</v>
      </c>
      <c r="S21" s="248">
        <f>0.39/200*C21</f>
        <v>0.39</v>
      </c>
      <c r="T21" s="15">
        <f>22.6/200*C21</f>
        <v>22.6</v>
      </c>
    </row>
    <row r="22" spans="1:20" ht="15" customHeight="1" x14ac:dyDescent="0.25">
      <c r="A22" s="4" t="s">
        <v>130</v>
      </c>
      <c r="B22" s="35" t="s">
        <v>68</v>
      </c>
      <c r="C22" s="6">
        <v>150</v>
      </c>
      <c r="D22" s="7">
        <f>5.4/150*C22</f>
        <v>5.4</v>
      </c>
      <c r="E22" s="7">
        <f>4.9/150*C22</f>
        <v>4.9000000000000004</v>
      </c>
      <c r="F22" s="7">
        <f>32.8/150*C22</f>
        <v>32.799999999999997</v>
      </c>
      <c r="G22" s="7">
        <f>196.8/150*C22</f>
        <v>196.8</v>
      </c>
      <c r="H22" s="7">
        <f>0.06/150*C22</f>
        <v>0.06</v>
      </c>
      <c r="I22" s="7">
        <f>0.03/150*C22</f>
        <v>0.03</v>
      </c>
      <c r="J22" s="7">
        <f>18.4/150*C22</f>
        <v>18.399999999999999</v>
      </c>
      <c r="K22" s="7">
        <f>0.09/150*C22</f>
        <v>0.09</v>
      </c>
      <c r="L22" s="13">
        <v>0</v>
      </c>
      <c r="M22" s="7">
        <f>53.8/150*C22</f>
        <v>53.8</v>
      </c>
      <c r="N22" s="7">
        <f>12/150*C22</f>
        <v>12</v>
      </c>
      <c r="O22" s="7">
        <f>7.2/150*C22</f>
        <v>7.2</v>
      </c>
      <c r="P22" s="7">
        <f>41/150*C22</f>
        <v>41</v>
      </c>
      <c r="Q22" s="7">
        <f>0.73/150*C22</f>
        <v>0.73</v>
      </c>
      <c r="R22" s="7">
        <f>21/150*C22</f>
        <v>21.000000000000004</v>
      </c>
      <c r="S22" s="128">
        <f>0.06/150*C22</f>
        <v>0.06</v>
      </c>
      <c r="T22" s="7">
        <f>15/150*C22</f>
        <v>15</v>
      </c>
    </row>
    <row r="23" spans="1:20" ht="15" customHeight="1" x14ac:dyDescent="0.25">
      <c r="A23" s="8" t="s">
        <v>193</v>
      </c>
      <c r="B23" s="32" t="s">
        <v>63</v>
      </c>
      <c r="C23" s="9">
        <v>100</v>
      </c>
      <c r="D23" s="10">
        <v>8.99</v>
      </c>
      <c r="E23" s="7">
        <f>8.8/80*C23</f>
        <v>11.000000000000002</v>
      </c>
      <c r="F23" s="7">
        <f>4.8/80*C23</f>
        <v>6</v>
      </c>
      <c r="G23" s="7">
        <f>133.1/80*C23</f>
        <v>166.37499999999997</v>
      </c>
      <c r="H23" s="7">
        <f>0.02/80*C23</f>
        <v>2.5000000000000001E-2</v>
      </c>
      <c r="I23" s="7">
        <f>0.06/80*C23</f>
        <v>7.4999999999999997E-2</v>
      </c>
      <c r="J23" s="7">
        <f>1.11/80*C23</f>
        <v>1.3875000000000002</v>
      </c>
      <c r="K23" s="7">
        <v>0</v>
      </c>
      <c r="L23" s="7">
        <f>0.28/80*C23</f>
        <v>0.35000000000000003</v>
      </c>
      <c r="M23" s="11">
        <f>147/80*C23</f>
        <v>183.75</v>
      </c>
      <c r="N23" s="12">
        <f>16/80*C23</f>
        <v>20</v>
      </c>
      <c r="O23" s="12">
        <f>13/80*C23</f>
        <v>16.25</v>
      </c>
      <c r="P23" s="12">
        <f>92/80*C23</f>
        <v>114.99999999999999</v>
      </c>
      <c r="Q23" s="12">
        <f>1.18/80*C23</f>
        <v>1.4749999999999999</v>
      </c>
      <c r="R23" s="12">
        <f>18/80*C23</f>
        <v>22.5</v>
      </c>
      <c r="S23" s="157">
        <f>0.98/80*C23</f>
        <v>1.2250000000000001</v>
      </c>
      <c r="T23" s="12">
        <f>35/80*C23</f>
        <v>43.75</v>
      </c>
    </row>
    <row r="24" spans="1:20" ht="15" customHeight="1" x14ac:dyDescent="0.25">
      <c r="A24" s="270" t="s">
        <v>131</v>
      </c>
      <c r="B24" s="5" t="s">
        <v>41</v>
      </c>
      <c r="C24" s="41">
        <v>30</v>
      </c>
      <c r="D24" s="42">
        <f>0.54/30*C24</f>
        <v>0.54</v>
      </c>
      <c r="E24" s="106">
        <f>3.67/30*C24</f>
        <v>3.67</v>
      </c>
      <c r="F24" s="106">
        <f>5.24/30*C24</f>
        <v>5.24</v>
      </c>
      <c r="G24" s="106">
        <f>56.16/30*C24</f>
        <v>56.16</v>
      </c>
      <c r="H24" s="106">
        <f>0.01/30*C24</f>
        <v>0.01</v>
      </c>
      <c r="I24" s="106">
        <v>0</v>
      </c>
      <c r="J24" s="106">
        <v>0</v>
      </c>
      <c r="K24" s="106">
        <f>0.23/30*C24</f>
        <v>0.23</v>
      </c>
      <c r="L24" s="106">
        <f>1.68/30*C24</f>
        <v>1.68</v>
      </c>
      <c r="M24" s="106">
        <f>2/30*C24</f>
        <v>2</v>
      </c>
      <c r="N24" s="106">
        <f>5/30*C24</f>
        <v>5</v>
      </c>
      <c r="O24" s="106">
        <v>0</v>
      </c>
      <c r="P24" s="106">
        <f>23.6/30*C24</f>
        <v>23.6</v>
      </c>
      <c r="Q24" s="106">
        <v>0</v>
      </c>
      <c r="R24" s="106">
        <f>0.01/30*C24</f>
        <v>0.01</v>
      </c>
      <c r="S24" s="249">
        <v>0</v>
      </c>
      <c r="T24" s="11">
        <f>0.04/30*C24</f>
        <v>0.04</v>
      </c>
    </row>
    <row r="25" spans="1:20" ht="15" customHeight="1" x14ac:dyDescent="0.25">
      <c r="A25" s="4">
        <v>254</v>
      </c>
      <c r="B25" s="97" t="s">
        <v>77</v>
      </c>
      <c r="C25" s="37">
        <v>150</v>
      </c>
      <c r="D25" s="38">
        <v>0.9</v>
      </c>
      <c r="E25" s="38">
        <v>0</v>
      </c>
      <c r="F25" s="38">
        <v>12.25</v>
      </c>
      <c r="G25" s="38">
        <f>14.4/200*C25</f>
        <v>10.8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>8.82/200*C25</f>
        <v>6.6150000000000002</v>
      </c>
      <c r="O25" s="12">
        <f>1.96/200*C25</f>
        <v>1.47</v>
      </c>
      <c r="P25" s="12">
        <v>0</v>
      </c>
      <c r="Q25" s="12">
        <v>0</v>
      </c>
      <c r="R25" s="12">
        <v>0</v>
      </c>
      <c r="S25" s="157">
        <v>0</v>
      </c>
      <c r="T25" s="12">
        <f>196/200*C25</f>
        <v>147</v>
      </c>
    </row>
    <row r="26" spans="1:20" ht="15" customHeight="1" x14ac:dyDescent="0.25">
      <c r="A26" s="95" t="s">
        <v>124</v>
      </c>
      <c r="B26" s="32" t="s">
        <v>24</v>
      </c>
      <c r="C26" s="16">
        <v>60</v>
      </c>
      <c r="D26" s="25">
        <v>3.52</v>
      </c>
      <c r="E26" s="11">
        <f>0.4/45*C26</f>
        <v>0.53333333333333333</v>
      </c>
      <c r="F26" s="11">
        <f>22.1/45*C26</f>
        <v>29.466666666666669</v>
      </c>
      <c r="G26" s="11">
        <f>105.8/45*C26</f>
        <v>141.06666666666666</v>
      </c>
      <c r="H26" s="11">
        <f>0.05/45*C26</f>
        <v>6.6666666666666666E-2</v>
      </c>
      <c r="I26" s="11">
        <f>0.01/45*C26</f>
        <v>1.3333333333333334E-2</v>
      </c>
      <c r="J26" s="11">
        <v>0</v>
      </c>
      <c r="K26" s="11">
        <v>0</v>
      </c>
      <c r="L26" s="11">
        <v>0</v>
      </c>
      <c r="M26" s="11">
        <f>46.5/45*C26</f>
        <v>62.000000000000007</v>
      </c>
      <c r="N26" s="12">
        <f>10/45*C26</f>
        <v>13.333333333333332</v>
      </c>
      <c r="O26" s="12">
        <f>7/45*C26</f>
        <v>9.3333333333333339</v>
      </c>
      <c r="P26" s="12">
        <f>32.5/45*C26</f>
        <v>43.333333333333336</v>
      </c>
      <c r="Q26" s="12">
        <f>1.6/45*C26</f>
        <v>2.1333333333333333</v>
      </c>
      <c r="R26" s="12">
        <f>0.55/45*C26</f>
        <v>0.73333333333333339</v>
      </c>
      <c r="S26" s="157">
        <f>3/45*C26</f>
        <v>4</v>
      </c>
      <c r="T26" s="12">
        <f>7.5/45*C26</f>
        <v>10</v>
      </c>
    </row>
    <row r="27" spans="1:20" ht="15" customHeight="1" x14ac:dyDescent="0.25">
      <c r="A27" s="95" t="s">
        <v>124</v>
      </c>
      <c r="B27" s="35" t="s">
        <v>23</v>
      </c>
      <c r="C27" s="6">
        <v>30</v>
      </c>
      <c r="D27" s="10">
        <f>1.5/25*C27</f>
        <v>1.7999999999999998</v>
      </c>
      <c r="E27" s="7">
        <f>0.5/25*C27</f>
        <v>0.6</v>
      </c>
      <c r="F27" s="7">
        <f>10.2/25*C27</f>
        <v>12.239999999999998</v>
      </c>
      <c r="G27" s="7">
        <f>52/25*C27</f>
        <v>62.400000000000006</v>
      </c>
      <c r="H27" s="7">
        <f>0.1/25*C27</f>
        <v>0.12</v>
      </c>
      <c r="I27" s="7">
        <f>0.08/25*C27</f>
        <v>9.6000000000000002E-2</v>
      </c>
      <c r="J27" s="7">
        <v>0</v>
      </c>
      <c r="K27" s="7">
        <v>0</v>
      </c>
      <c r="L27" s="7">
        <f>0.1/25*C27</f>
        <v>0.12</v>
      </c>
      <c r="M27" s="7">
        <f>41.5/25*C27</f>
        <v>49.8</v>
      </c>
      <c r="N27" s="7">
        <f>19.75/25*C27</f>
        <v>23.700000000000003</v>
      </c>
      <c r="O27" s="7">
        <f>10/25*C27</f>
        <v>12</v>
      </c>
      <c r="P27" s="7">
        <f>31.25/25*C27</f>
        <v>37.5</v>
      </c>
      <c r="Q27" s="7">
        <f>10/25*C27</f>
        <v>12</v>
      </c>
      <c r="R27" s="7">
        <f>0.7/25*C27</f>
        <v>0.83999999999999986</v>
      </c>
      <c r="S27" s="128">
        <f>7.73/25*C27</f>
        <v>9.2760000000000016</v>
      </c>
      <c r="T27" s="7">
        <f>12.75/25*C27</f>
        <v>15.3</v>
      </c>
    </row>
    <row r="28" spans="1:20" ht="15" customHeight="1" x14ac:dyDescent="0.25">
      <c r="A28" s="95"/>
      <c r="B28" s="101"/>
      <c r="C28" s="102"/>
      <c r="D28" s="103"/>
      <c r="E28" s="103"/>
      <c r="F28" s="103"/>
      <c r="G28" s="103"/>
      <c r="H28" s="96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57"/>
      <c r="T28" s="12"/>
    </row>
    <row r="29" spans="1:20" ht="15" customHeight="1" x14ac:dyDescent="0.25">
      <c r="A29" s="4"/>
      <c r="B29" s="71" t="s">
        <v>29</v>
      </c>
      <c r="C29" s="98">
        <f>SUM(C20:C28)</f>
        <v>780</v>
      </c>
      <c r="D29" s="214">
        <f t="shared" ref="D29:T29" si="1">SUM(D20:D28)</f>
        <v>26.35</v>
      </c>
      <c r="E29" s="98">
        <f t="shared" si="1"/>
        <v>26.503333333333341</v>
      </c>
      <c r="F29" s="98">
        <f t="shared" si="1"/>
        <v>109.59666666666666</v>
      </c>
      <c r="G29" s="214">
        <f t="shared" si="1"/>
        <v>752.50166666666667</v>
      </c>
      <c r="H29" s="214">
        <f t="shared" si="1"/>
        <v>0.33166666666666667</v>
      </c>
      <c r="I29" s="98">
        <f t="shared" si="1"/>
        <v>0.27433333333333332</v>
      </c>
      <c r="J29" s="98">
        <f t="shared" si="1"/>
        <v>160.38749999999999</v>
      </c>
      <c r="K29" s="98">
        <f t="shared" si="1"/>
        <v>0.32</v>
      </c>
      <c r="L29" s="98">
        <f t="shared" si="1"/>
        <v>14.909999999999998</v>
      </c>
      <c r="M29" s="98">
        <f t="shared" si="1"/>
        <v>682.94999999999993</v>
      </c>
      <c r="N29" s="98">
        <f t="shared" si="1"/>
        <v>128.24833333333333</v>
      </c>
      <c r="O29" s="98">
        <f t="shared" si="1"/>
        <v>73.853333333333339</v>
      </c>
      <c r="P29" s="98">
        <f t="shared" si="1"/>
        <v>328.0333333333333</v>
      </c>
      <c r="Q29" s="98">
        <f t="shared" si="1"/>
        <v>17.568333333333335</v>
      </c>
      <c r="R29" s="98">
        <f t="shared" si="1"/>
        <v>64.083333333333329</v>
      </c>
      <c r="S29" s="98">
        <f t="shared" si="1"/>
        <v>15.131000000000002</v>
      </c>
      <c r="T29" s="98">
        <f t="shared" si="1"/>
        <v>263.69</v>
      </c>
    </row>
    <row r="30" spans="1:20" ht="15" customHeight="1" x14ac:dyDescent="0.25">
      <c r="A30" s="289" t="s">
        <v>30</v>
      </c>
      <c r="B30" s="290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315"/>
    </row>
    <row r="31" spans="1:20" ht="15" customHeight="1" x14ac:dyDescent="0.25">
      <c r="A31" s="4">
        <v>233</v>
      </c>
      <c r="B31" s="5" t="s">
        <v>99</v>
      </c>
      <c r="C31" s="26">
        <v>200</v>
      </c>
      <c r="D31" s="61">
        <f>0.2/200*C31</f>
        <v>0.2</v>
      </c>
      <c r="E31" s="61">
        <v>1.2</v>
      </c>
      <c r="F31" s="61">
        <f>12.3/200*C31</f>
        <v>12.3</v>
      </c>
      <c r="G31" s="133">
        <f>50.5/200*C31</f>
        <v>50.5</v>
      </c>
      <c r="H31" s="126">
        <f>0.01/200*C31</f>
        <v>0.01</v>
      </c>
      <c r="I31" s="126">
        <f>0.01/200*C31</f>
        <v>0.01</v>
      </c>
      <c r="J31" s="126">
        <f>2.45/200*C31</f>
        <v>2.4500000000000002</v>
      </c>
      <c r="K31" s="126">
        <v>0</v>
      </c>
      <c r="L31" s="126">
        <f>19.2/200*C31</f>
        <v>19.2</v>
      </c>
      <c r="M31" s="126">
        <f>70.6/200*C31</f>
        <v>70.599999999999994</v>
      </c>
      <c r="N31" s="126">
        <f>9.8/200*C31</f>
        <v>9.8000000000000007</v>
      </c>
      <c r="O31" s="126">
        <f>6.5/200*C31</f>
        <v>6.5</v>
      </c>
      <c r="P31" s="126">
        <f>11/200*C31</f>
        <v>11</v>
      </c>
      <c r="Q31" s="127">
        <f>0.29/200*C31</f>
        <v>0.28999999999999998</v>
      </c>
      <c r="R31" s="126">
        <f>0.2/200*C31</f>
        <v>0.2</v>
      </c>
      <c r="S31" s="126">
        <f>0.23/200*C31</f>
        <v>0.22999999999999998</v>
      </c>
      <c r="T31" s="126">
        <f>4.08/200*C31</f>
        <v>4.08</v>
      </c>
    </row>
    <row r="32" spans="1:20" ht="15" customHeight="1" x14ac:dyDescent="0.25">
      <c r="A32" s="4">
        <v>59</v>
      </c>
      <c r="B32" s="32" t="s">
        <v>31</v>
      </c>
      <c r="C32" s="98">
        <v>100</v>
      </c>
      <c r="D32" s="197">
        <f>4.8/60*C32</f>
        <v>8</v>
      </c>
      <c r="E32" s="197">
        <f>3.8/60*C32</f>
        <v>6.3333333333333321</v>
      </c>
      <c r="F32" s="197">
        <v>33.1</v>
      </c>
      <c r="G32" s="197">
        <v>284.10000000000002</v>
      </c>
      <c r="H32" s="197">
        <f>0.2/60*C32</f>
        <v>0.33333333333333337</v>
      </c>
      <c r="I32" s="197">
        <f>0.1/60*C32</f>
        <v>0.16666666666666669</v>
      </c>
      <c r="J32" s="198">
        <f>3/60*C32</f>
        <v>5</v>
      </c>
      <c r="K32" s="197">
        <v>0</v>
      </c>
      <c r="L32" s="197">
        <f>0.7/60*C32</f>
        <v>1.1666666666666665</v>
      </c>
      <c r="M32" s="197">
        <f>61.8/60*C32</f>
        <v>103</v>
      </c>
      <c r="N32" s="197">
        <f>51.6/60*C32</f>
        <v>86</v>
      </c>
      <c r="O32" s="197">
        <f>14.4/60*C32</f>
        <v>24.000000000000004</v>
      </c>
      <c r="P32" s="197">
        <v>0</v>
      </c>
      <c r="Q32" s="197">
        <v>0</v>
      </c>
      <c r="R32" s="197">
        <f>1.7/60*C32</f>
        <v>2.833333333333333</v>
      </c>
      <c r="S32" s="199">
        <f>15.7/60*C32</f>
        <v>26.166666666666664</v>
      </c>
      <c r="T32" s="197">
        <f>56.4/60*C32</f>
        <v>94</v>
      </c>
    </row>
    <row r="33" spans="1:20" ht="15" customHeight="1" x14ac:dyDescent="0.25">
      <c r="A33" s="4"/>
      <c r="B33" s="4"/>
      <c r="C33" s="29"/>
      <c r="D33" s="30"/>
      <c r="E33" s="30"/>
      <c r="F33" s="30"/>
      <c r="G33" s="30"/>
      <c r="H33" s="30"/>
      <c r="I33" s="30"/>
      <c r="J33" s="31"/>
      <c r="K33" s="30"/>
      <c r="L33" s="30"/>
      <c r="M33" s="30"/>
      <c r="N33" s="30"/>
      <c r="O33" s="30"/>
      <c r="P33" s="30"/>
      <c r="Q33" s="30"/>
      <c r="R33" s="30"/>
      <c r="S33" s="161"/>
      <c r="T33" s="30"/>
    </row>
    <row r="34" spans="1:20" ht="15" customHeight="1" x14ac:dyDescent="0.25">
      <c r="A34" s="4"/>
      <c r="B34" s="28" t="s">
        <v>32</v>
      </c>
      <c r="C34" s="29">
        <f>SUM(C31:C32)</f>
        <v>300</v>
      </c>
      <c r="D34" s="30">
        <f>SUM(D31:D32)</f>
        <v>8.1999999999999993</v>
      </c>
      <c r="E34" s="30">
        <f t="shared" ref="E34:T34" si="2">SUM(E31:E32)</f>
        <v>7.5333333333333323</v>
      </c>
      <c r="F34" s="30">
        <f t="shared" si="2"/>
        <v>45.400000000000006</v>
      </c>
      <c r="G34" s="30">
        <f t="shared" si="2"/>
        <v>334.6</v>
      </c>
      <c r="H34" s="30">
        <f t="shared" si="2"/>
        <v>0.34333333333333338</v>
      </c>
      <c r="I34" s="30">
        <f t="shared" si="2"/>
        <v>0.17666666666666669</v>
      </c>
      <c r="J34" s="30">
        <f t="shared" si="2"/>
        <v>7.45</v>
      </c>
      <c r="K34" s="30">
        <f t="shared" si="2"/>
        <v>0</v>
      </c>
      <c r="L34" s="30">
        <f t="shared" si="2"/>
        <v>20.366666666666667</v>
      </c>
      <c r="M34" s="30">
        <f t="shared" si="2"/>
        <v>173.6</v>
      </c>
      <c r="N34" s="30">
        <f t="shared" si="2"/>
        <v>95.8</v>
      </c>
      <c r="O34" s="30">
        <f t="shared" si="2"/>
        <v>30.500000000000004</v>
      </c>
      <c r="P34" s="30">
        <f t="shared" si="2"/>
        <v>11</v>
      </c>
      <c r="Q34" s="30">
        <f t="shared" si="2"/>
        <v>0.28999999999999998</v>
      </c>
      <c r="R34" s="30">
        <f t="shared" si="2"/>
        <v>3.0333333333333332</v>
      </c>
      <c r="S34" s="161">
        <f t="shared" si="2"/>
        <v>26.396666666666665</v>
      </c>
      <c r="T34" s="30">
        <f t="shared" si="2"/>
        <v>98.08</v>
      </c>
    </row>
    <row r="35" spans="1:20" ht="15" customHeight="1" x14ac:dyDescent="0.25">
      <c r="A35" s="4"/>
      <c r="B35" s="28" t="s">
        <v>33</v>
      </c>
      <c r="C35" s="29">
        <f>C34+C29+C18</f>
        <v>1660</v>
      </c>
      <c r="D35" s="30">
        <f t="shared" ref="D35:T35" si="3">D34+D29+D18</f>
        <v>52.272222222222226</v>
      </c>
      <c r="E35" s="29">
        <f t="shared" si="3"/>
        <v>50.992222222222232</v>
      </c>
      <c r="F35" s="29">
        <f t="shared" si="3"/>
        <v>232.2811111111111</v>
      </c>
      <c r="G35" s="30">
        <f t="shared" si="3"/>
        <v>1564.5461111111113</v>
      </c>
      <c r="H35" s="29">
        <f t="shared" si="3"/>
        <v>67.029444444444451</v>
      </c>
      <c r="I35" s="29">
        <f t="shared" si="3"/>
        <v>0.80588888888888888</v>
      </c>
      <c r="J35" s="29">
        <f t="shared" si="3"/>
        <v>251.13749999999999</v>
      </c>
      <c r="K35" s="29">
        <f t="shared" si="3"/>
        <v>0.5</v>
      </c>
      <c r="L35" s="29">
        <f t="shared" si="3"/>
        <v>106.69666666666666</v>
      </c>
      <c r="M35" s="29">
        <f t="shared" si="3"/>
        <v>1479.9833333333333</v>
      </c>
      <c r="N35" s="29">
        <f t="shared" si="3"/>
        <v>481.03722222222228</v>
      </c>
      <c r="O35" s="29">
        <f t="shared" si="3"/>
        <v>169.47555555555556</v>
      </c>
      <c r="P35" s="29">
        <f t="shared" si="3"/>
        <v>599.42222222222222</v>
      </c>
      <c r="Q35" s="29">
        <f t="shared" si="3"/>
        <v>76.070555555555558</v>
      </c>
      <c r="R35" s="29">
        <f t="shared" si="3"/>
        <v>146.14555555555555</v>
      </c>
      <c r="S35" s="162">
        <f t="shared" si="3"/>
        <v>60.95033333333334</v>
      </c>
      <c r="T35" s="29">
        <f t="shared" si="3"/>
        <v>434.03666666666663</v>
      </c>
    </row>
    <row r="36" spans="1:20" ht="15" customHeight="1" x14ac:dyDescent="0.25">
      <c r="A36" s="293" t="s">
        <v>34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307"/>
    </row>
    <row r="37" spans="1:20" ht="15" customHeight="1" x14ac:dyDescent="0.25">
      <c r="A37" s="293" t="s">
        <v>35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307"/>
    </row>
    <row r="38" spans="1:20" ht="15" customHeight="1" x14ac:dyDescent="0.25">
      <c r="A38" s="285" t="s">
        <v>18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308"/>
    </row>
    <row r="39" spans="1:20" ht="15" customHeight="1" x14ac:dyDescent="0.25">
      <c r="A39" s="295" t="s">
        <v>19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309"/>
    </row>
    <row r="40" spans="1:20" ht="15" customHeight="1" x14ac:dyDescent="0.25">
      <c r="A40" s="270" t="s">
        <v>132</v>
      </c>
      <c r="B40" s="5" t="s">
        <v>133</v>
      </c>
      <c r="C40" s="26">
        <v>250</v>
      </c>
      <c r="D40" s="21">
        <v>9.1999999999999993</v>
      </c>
      <c r="E40" s="21">
        <v>10.63</v>
      </c>
      <c r="F40" s="21">
        <f>37.6/200*C40</f>
        <v>47</v>
      </c>
      <c r="G40" s="21">
        <v>243.6</v>
      </c>
      <c r="H40" s="108">
        <f>0.18/200*C40</f>
        <v>0.22500000000000001</v>
      </c>
      <c r="I40" s="108">
        <f>0.15/200*C40</f>
        <v>0.1875</v>
      </c>
      <c r="J40" s="108">
        <f>41.6/200*C40</f>
        <v>52.000000000000007</v>
      </c>
      <c r="K40" s="108">
        <f>0.13/200*C40</f>
        <v>0.16250000000000001</v>
      </c>
      <c r="L40" s="108">
        <f>0.54/200*C40</f>
        <v>0.67500000000000004</v>
      </c>
      <c r="M40" s="108">
        <f>216/200*C40</f>
        <v>270</v>
      </c>
      <c r="N40" s="109">
        <f>143/200*C40</f>
        <v>178.75</v>
      </c>
      <c r="O40" s="110">
        <f>49/200*C40</f>
        <v>61.25</v>
      </c>
      <c r="P40" s="109">
        <f>186/200*C40</f>
        <v>232.5</v>
      </c>
      <c r="Q40" s="109">
        <f>1.32/200*C40</f>
        <v>1.65</v>
      </c>
      <c r="R40" s="108">
        <f>0.52/200*C40</f>
        <v>0.65</v>
      </c>
      <c r="S40" s="191">
        <f>3.1/200*C40</f>
        <v>3.875</v>
      </c>
      <c r="T40" s="109">
        <f>35/200*C40</f>
        <v>43.75</v>
      </c>
    </row>
    <row r="41" spans="1:20" ht="15" customHeight="1" x14ac:dyDescent="0.25">
      <c r="A41" s="8" t="s">
        <v>134</v>
      </c>
      <c r="B41" s="32" t="s">
        <v>44</v>
      </c>
      <c r="C41" s="9">
        <v>200</v>
      </c>
      <c r="D41" s="10">
        <f>4.6/200*C41</f>
        <v>4.5999999999999996</v>
      </c>
      <c r="E41" s="10">
        <f>3.6/200*C41</f>
        <v>3.6000000000000005</v>
      </c>
      <c r="F41" s="10">
        <f>12.6/200*C41</f>
        <v>12.6</v>
      </c>
      <c r="G41" s="10">
        <f>100.4/200*C41</f>
        <v>100.4</v>
      </c>
      <c r="H41" s="10">
        <f>0.04/200*C41</f>
        <v>0.04</v>
      </c>
      <c r="I41" s="10">
        <f>0.17/200*C41</f>
        <v>0.17</v>
      </c>
      <c r="J41" s="10">
        <f>17.3/200*C41</f>
        <v>17.3</v>
      </c>
      <c r="K41" s="10">
        <v>0</v>
      </c>
      <c r="L41" s="10">
        <f>0.68/200*C41</f>
        <v>0.68</v>
      </c>
      <c r="M41" s="11">
        <f>220/200*C41</f>
        <v>220.00000000000003</v>
      </c>
      <c r="N41" s="12">
        <f>143/200*C41</f>
        <v>143</v>
      </c>
      <c r="O41" s="12">
        <f>34/200*C41</f>
        <v>34</v>
      </c>
      <c r="P41" s="12">
        <f>130/200*C41</f>
        <v>130</v>
      </c>
      <c r="Q41" s="12">
        <f>1.09/200*C41</f>
        <v>1.0900000000000001</v>
      </c>
      <c r="R41" s="12">
        <f>12/200*C41</f>
        <v>12</v>
      </c>
      <c r="S41" s="157">
        <f>2.29/200*C41</f>
        <v>2.29</v>
      </c>
      <c r="T41" s="12">
        <f>38/200*C41</f>
        <v>38</v>
      </c>
    </row>
    <row r="42" spans="1:20" ht="15" customHeight="1" x14ac:dyDescent="0.25">
      <c r="A42" s="14" t="s">
        <v>135</v>
      </c>
      <c r="B42" s="35" t="s">
        <v>22</v>
      </c>
      <c r="C42" s="6">
        <v>15</v>
      </c>
      <c r="D42" s="7">
        <f>3.5/15*C42</f>
        <v>3.5</v>
      </c>
      <c r="E42" s="7">
        <f>4.4/15*C42</f>
        <v>4.4000000000000004</v>
      </c>
      <c r="F42" s="7">
        <v>0</v>
      </c>
      <c r="G42" s="7">
        <f>53.7/15*C42</f>
        <v>53.7</v>
      </c>
      <c r="H42" s="7">
        <f>0.01/15*C42</f>
        <v>0.01</v>
      </c>
      <c r="I42" s="7">
        <f>0.05/15*C42</f>
        <v>0.05</v>
      </c>
      <c r="J42" s="7">
        <f>39/15*C42</f>
        <v>39</v>
      </c>
      <c r="K42" s="7">
        <f>0.15/15*C42</f>
        <v>0.15</v>
      </c>
      <c r="L42" s="7">
        <f>0.11/15*C42</f>
        <v>0.11</v>
      </c>
      <c r="M42" s="7">
        <f>13/15*C42</f>
        <v>13</v>
      </c>
      <c r="N42" s="7">
        <f>132/15*C42</f>
        <v>132</v>
      </c>
      <c r="O42" s="7">
        <f>5.3/15*C42</f>
        <v>5.3</v>
      </c>
      <c r="P42" s="7">
        <f>75/15*C42</f>
        <v>75</v>
      </c>
      <c r="Q42" s="7">
        <f>0.15/15*C42</f>
        <v>0.15</v>
      </c>
      <c r="R42" s="7">
        <v>0</v>
      </c>
      <c r="S42" s="128">
        <f>2.18/15*C42</f>
        <v>2.1800000000000002</v>
      </c>
      <c r="T42" s="7">
        <v>0</v>
      </c>
    </row>
    <row r="43" spans="1:20" ht="15" customHeight="1" x14ac:dyDescent="0.25">
      <c r="A43" s="14" t="s">
        <v>124</v>
      </c>
      <c r="B43" s="35" t="s">
        <v>23</v>
      </c>
      <c r="C43" s="6">
        <v>30</v>
      </c>
      <c r="D43" s="10">
        <v>1.2</v>
      </c>
      <c r="E43" s="10">
        <v>0.3</v>
      </c>
      <c r="F43" s="10">
        <v>8.3000000000000007</v>
      </c>
      <c r="G43" s="10">
        <f>52/25*C43</f>
        <v>62.400000000000006</v>
      </c>
      <c r="H43" s="10">
        <f>0.1/25*C43</f>
        <v>0.12</v>
      </c>
      <c r="I43" s="10">
        <f>0.08/25*C43</f>
        <v>9.6000000000000002E-2</v>
      </c>
      <c r="J43" s="10">
        <v>0</v>
      </c>
      <c r="K43" s="10">
        <v>0</v>
      </c>
      <c r="L43" s="10">
        <f>0.1/25*C43</f>
        <v>0.12</v>
      </c>
      <c r="M43" s="10">
        <f>41.5/25*C43</f>
        <v>49.8</v>
      </c>
      <c r="N43" s="10">
        <f>19.75/25*C43</f>
        <v>23.700000000000003</v>
      </c>
      <c r="O43" s="10">
        <f>10/25*C43</f>
        <v>12</v>
      </c>
      <c r="P43" s="10">
        <f>31.25/25*C43</f>
        <v>37.5</v>
      </c>
      <c r="Q43" s="10">
        <f>10/25*C43</f>
        <v>12</v>
      </c>
      <c r="R43" s="10">
        <f>0.7/25*C43</f>
        <v>0.83999999999999986</v>
      </c>
      <c r="S43" s="172">
        <f>7.73/25*C43</f>
        <v>9.2760000000000016</v>
      </c>
      <c r="T43" s="10">
        <f>12.75/25*C43</f>
        <v>15.3</v>
      </c>
    </row>
    <row r="44" spans="1:20" ht="15" customHeight="1" x14ac:dyDescent="0.25">
      <c r="A44" s="14" t="s">
        <v>124</v>
      </c>
      <c r="B44" s="32" t="s">
        <v>24</v>
      </c>
      <c r="C44" s="16">
        <v>30</v>
      </c>
      <c r="D44" s="25">
        <v>0.5</v>
      </c>
      <c r="E44" s="25">
        <f>0.4/45*C44</f>
        <v>0.26666666666666666</v>
      </c>
      <c r="F44" s="25">
        <f>22.1/45*C44</f>
        <v>14.733333333333334</v>
      </c>
      <c r="G44" s="25">
        <v>50.2</v>
      </c>
      <c r="H44" s="25">
        <f>0.05/45*C44</f>
        <v>3.3333333333333333E-2</v>
      </c>
      <c r="I44" s="25">
        <f>0.01/45*C44</f>
        <v>6.6666666666666671E-3</v>
      </c>
      <c r="J44" s="25">
        <v>0</v>
      </c>
      <c r="K44" s="25">
        <v>0</v>
      </c>
      <c r="L44" s="25">
        <v>0</v>
      </c>
      <c r="M44" s="25">
        <f>46.5/45*C44</f>
        <v>31.000000000000004</v>
      </c>
      <c r="N44" s="27">
        <f>10/45*C44</f>
        <v>6.6666666666666661</v>
      </c>
      <c r="O44" s="27">
        <f>7/45*C44</f>
        <v>4.666666666666667</v>
      </c>
      <c r="P44" s="27">
        <f>32.5/45*C44</f>
        <v>21.666666666666668</v>
      </c>
      <c r="Q44" s="27">
        <f>1.6/45*C44</f>
        <v>1.0666666666666667</v>
      </c>
      <c r="R44" s="27">
        <f>0.55/45*C44</f>
        <v>0.3666666666666667</v>
      </c>
      <c r="S44" s="166">
        <f>3/45*C44</f>
        <v>2</v>
      </c>
      <c r="T44" s="27">
        <f>7.5/45*C44</f>
        <v>5</v>
      </c>
    </row>
    <row r="45" spans="1:20" ht="15" customHeight="1" x14ac:dyDescent="0.25">
      <c r="A45" s="14"/>
      <c r="B45" s="32"/>
      <c r="C45" s="1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57"/>
      <c r="T45" s="12"/>
    </row>
    <row r="46" spans="1:20" ht="15" customHeight="1" x14ac:dyDescent="0.25">
      <c r="A46" s="4"/>
      <c r="B46" s="6"/>
      <c r="C46" s="24">
        <f>SUM(C40:C45)</f>
        <v>525</v>
      </c>
      <c r="D46" s="235">
        <f t="shared" ref="D46:T46" si="4">SUM(D40:D45)</f>
        <v>18.999999999999996</v>
      </c>
      <c r="E46" s="24">
        <f t="shared" si="4"/>
        <v>19.196666666666669</v>
      </c>
      <c r="F46" s="24">
        <f t="shared" si="4"/>
        <v>82.63333333333334</v>
      </c>
      <c r="G46" s="24">
        <f t="shared" si="4"/>
        <v>510.3</v>
      </c>
      <c r="H46" s="24">
        <f t="shared" si="4"/>
        <v>0.42833333333333334</v>
      </c>
      <c r="I46" s="24">
        <f t="shared" si="4"/>
        <v>0.51016666666666677</v>
      </c>
      <c r="J46" s="24">
        <f t="shared" si="4"/>
        <v>108.30000000000001</v>
      </c>
      <c r="K46" s="24">
        <f t="shared" si="4"/>
        <v>0.3125</v>
      </c>
      <c r="L46" s="24">
        <f t="shared" si="4"/>
        <v>1.585</v>
      </c>
      <c r="M46" s="24">
        <f t="shared" si="4"/>
        <v>583.79999999999995</v>
      </c>
      <c r="N46" s="24">
        <f t="shared" si="4"/>
        <v>484.11666666666667</v>
      </c>
      <c r="O46" s="24">
        <f t="shared" si="4"/>
        <v>117.21666666666667</v>
      </c>
      <c r="P46" s="24">
        <f t="shared" si="4"/>
        <v>496.66666666666669</v>
      </c>
      <c r="Q46" s="24">
        <f t="shared" si="4"/>
        <v>15.956666666666667</v>
      </c>
      <c r="R46" s="24">
        <f t="shared" si="4"/>
        <v>13.856666666666667</v>
      </c>
      <c r="S46" s="50">
        <f t="shared" si="4"/>
        <v>19.621000000000002</v>
      </c>
      <c r="T46" s="24">
        <f t="shared" si="4"/>
        <v>102.05</v>
      </c>
    </row>
    <row r="47" spans="1:20" ht="15" customHeight="1" x14ac:dyDescent="0.25">
      <c r="A47" s="305" t="s">
        <v>78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112"/>
      <c r="N47" s="111"/>
      <c r="O47" s="111"/>
      <c r="P47" s="111"/>
      <c r="Q47" s="111"/>
      <c r="R47" s="111"/>
      <c r="S47" s="163"/>
      <c r="T47" s="195"/>
    </row>
    <row r="48" spans="1:20" ht="15" customHeight="1" x14ac:dyDescent="0.25">
      <c r="A48" s="8" t="s">
        <v>136</v>
      </c>
      <c r="B48" s="32" t="s">
        <v>137</v>
      </c>
      <c r="C48" s="9">
        <v>60</v>
      </c>
      <c r="D48" s="10">
        <f>0.6/60*C48</f>
        <v>0.6</v>
      </c>
      <c r="E48" s="10">
        <f>5.3/60*C48</f>
        <v>5.3</v>
      </c>
      <c r="F48" s="10">
        <f>4.1/60*C48</f>
        <v>4.0999999999999996</v>
      </c>
      <c r="G48" s="10">
        <f>67.1/60*C48</f>
        <v>67.099999999999994</v>
      </c>
      <c r="H48" s="143">
        <f>0.01/60*C48</f>
        <v>0.01</v>
      </c>
      <c r="I48" s="143">
        <f>0.01/60*C48</f>
        <v>0.01</v>
      </c>
      <c r="J48" s="143">
        <f>72.9/60*C48</f>
        <v>72.900000000000006</v>
      </c>
      <c r="K48" s="143">
        <v>0</v>
      </c>
      <c r="L48" s="143">
        <f>2.26/60*C48</f>
        <v>2.2599999999999998</v>
      </c>
      <c r="M48" s="143">
        <f>128/60*C48</f>
        <v>128</v>
      </c>
      <c r="N48" s="143">
        <f>12/60*C48</f>
        <v>12</v>
      </c>
      <c r="O48" s="143">
        <f>9.7/60*C48</f>
        <v>9.6999999999999993</v>
      </c>
      <c r="P48" s="145">
        <f>21/60*C48</f>
        <v>21</v>
      </c>
      <c r="Q48" s="144">
        <f>0.4/60*C48</f>
        <v>0.4</v>
      </c>
      <c r="R48" s="143">
        <f>7.9/60*C48</f>
        <v>7.9000000000000012</v>
      </c>
      <c r="S48" s="177">
        <f>0.14/60*C48</f>
        <v>0.14000000000000001</v>
      </c>
      <c r="T48" s="61">
        <f>12/60*C48</f>
        <v>12</v>
      </c>
    </row>
    <row r="49" spans="1:20" ht="15" customHeight="1" x14ac:dyDescent="0.25">
      <c r="A49" s="19" t="s">
        <v>131</v>
      </c>
      <c r="B49" s="32" t="s">
        <v>27</v>
      </c>
      <c r="C49" s="20">
        <v>200</v>
      </c>
      <c r="D49" s="21">
        <f>4.8/200*C49</f>
        <v>4.8</v>
      </c>
      <c r="E49" s="21">
        <f>5.8/200*C49</f>
        <v>5.8</v>
      </c>
      <c r="F49" s="21">
        <f>13.6/200*C49</f>
        <v>13.600000000000001</v>
      </c>
      <c r="G49" s="89">
        <f>125.5/200*C49</f>
        <v>125.49999999999999</v>
      </c>
      <c r="H49" s="61">
        <f>0.03/200*C49</f>
        <v>0.03</v>
      </c>
      <c r="I49" s="61">
        <f>0.02/200*C49</f>
        <v>0.02</v>
      </c>
      <c r="J49" s="93">
        <f>132.4/200*C49</f>
        <v>132.4</v>
      </c>
      <c r="K49" s="61">
        <v>0</v>
      </c>
      <c r="L49" s="61">
        <f>3.26/200*C49</f>
        <v>3.26</v>
      </c>
      <c r="M49" s="61">
        <f>147/200*C49</f>
        <v>147</v>
      </c>
      <c r="N49" s="61">
        <f>11.8/200*C49</f>
        <v>11.8</v>
      </c>
      <c r="O49" s="61">
        <f>13.8/200*C49</f>
        <v>13.8</v>
      </c>
      <c r="P49" s="61">
        <f>32.6/200*C49</f>
        <v>32.6</v>
      </c>
      <c r="Q49" s="93">
        <f>0.4/200*C49</f>
        <v>0.4</v>
      </c>
      <c r="R49" s="61">
        <f>14.2/200*C49</f>
        <v>14.2</v>
      </c>
      <c r="S49" s="133">
        <f>1.16/200*C49</f>
        <v>1.1599999999999999</v>
      </c>
      <c r="T49" s="61">
        <f>21.8/200*C49</f>
        <v>21.8</v>
      </c>
    </row>
    <row r="50" spans="1:20" ht="15" customHeight="1" x14ac:dyDescent="0.25">
      <c r="A50" s="8" t="s">
        <v>139</v>
      </c>
      <c r="B50" s="36" t="s">
        <v>64</v>
      </c>
      <c r="C50" s="53">
        <v>150</v>
      </c>
      <c r="D50" s="56">
        <v>14.5</v>
      </c>
      <c r="E50" s="56">
        <f>8.1/200*C50</f>
        <v>6.0750000000000002</v>
      </c>
      <c r="F50" s="56">
        <v>34.5</v>
      </c>
      <c r="G50" s="56">
        <f>314.6/200*C50</f>
        <v>235.95000000000002</v>
      </c>
      <c r="H50" s="116">
        <f>0.08/200*C50</f>
        <v>6.0000000000000005E-2</v>
      </c>
      <c r="I50" s="116">
        <f>0.08/200*C50</f>
        <v>6.0000000000000005E-2</v>
      </c>
      <c r="J50" s="116">
        <f>147/200*C50</f>
        <v>110.25</v>
      </c>
      <c r="K50" s="116">
        <v>0</v>
      </c>
      <c r="L50" s="116">
        <f>2.36/200*C50</f>
        <v>1.77</v>
      </c>
      <c r="M50" s="116">
        <f>383/200*C50</f>
        <v>287.25</v>
      </c>
      <c r="N50" s="117">
        <f>20/200*C50</f>
        <v>15</v>
      </c>
      <c r="O50" s="117">
        <f>108/200*C50</f>
        <v>81</v>
      </c>
      <c r="P50" s="117">
        <f>234/200*C50</f>
        <v>175.5</v>
      </c>
      <c r="Q50" s="117">
        <f>2.02/200*C50</f>
        <v>1.5149999999999999</v>
      </c>
      <c r="R50" s="117">
        <f>40/200*C50</f>
        <v>30</v>
      </c>
      <c r="S50" s="164">
        <f>27.5/200*C50</f>
        <v>20.625</v>
      </c>
      <c r="T50" s="7">
        <f>169/200*C50</f>
        <v>126.75</v>
      </c>
    </row>
    <row r="51" spans="1:20" ht="15" customHeight="1" x14ac:dyDescent="0.25">
      <c r="A51" s="270" t="s">
        <v>131</v>
      </c>
      <c r="B51" s="5" t="s">
        <v>41</v>
      </c>
      <c r="C51" s="41">
        <v>50</v>
      </c>
      <c r="D51" s="42">
        <f>0.54/30*C51</f>
        <v>0.90000000000000013</v>
      </c>
      <c r="E51" s="42">
        <f>3.67/30*C51</f>
        <v>6.1166666666666671</v>
      </c>
      <c r="F51" s="42">
        <f>5.24/30*C51</f>
        <v>8.7333333333333325</v>
      </c>
      <c r="G51" s="42">
        <f>56.16/30*C51</f>
        <v>93.6</v>
      </c>
      <c r="H51" s="42">
        <f>0.01/30*C51</f>
        <v>1.6666666666666666E-2</v>
      </c>
      <c r="I51" s="42">
        <v>0</v>
      </c>
      <c r="J51" s="42">
        <v>0</v>
      </c>
      <c r="K51" s="42">
        <f>0.23/30*C51</f>
        <v>0.38333333333333336</v>
      </c>
      <c r="L51" s="42">
        <f>1.68/30*C51</f>
        <v>2.8000000000000003</v>
      </c>
      <c r="M51" s="42">
        <f>2/30*C51</f>
        <v>3.3333333333333335</v>
      </c>
      <c r="N51" s="42">
        <f>5/30*C51</f>
        <v>8.3333333333333321</v>
      </c>
      <c r="O51" s="42">
        <v>0</v>
      </c>
      <c r="P51" s="42">
        <f>23.6/30*C51</f>
        <v>39.333333333333336</v>
      </c>
      <c r="Q51" s="42">
        <v>0</v>
      </c>
      <c r="R51" s="42">
        <f>0.01/30*C51</f>
        <v>1.6666666666666666E-2</v>
      </c>
      <c r="S51" s="165">
        <v>0</v>
      </c>
      <c r="T51" s="25">
        <f>0.04/30*C51</f>
        <v>6.6666666666666666E-2</v>
      </c>
    </row>
    <row r="52" spans="1:20" ht="15" customHeight="1" x14ac:dyDescent="0.25">
      <c r="A52" s="8" t="s">
        <v>140</v>
      </c>
      <c r="B52" s="32" t="s">
        <v>20</v>
      </c>
      <c r="C52" s="9">
        <v>200</v>
      </c>
      <c r="D52" s="10">
        <f>0.2/200*C52</f>
        <v>0.2</v>
      </c>
      <c r="E52" s="10">
        <v>0</v>
      </c>
      <c r="F52" s="10">
        <f>6.5/200*C52</f>
        <v>6.5</v>
      </c>
      <c r="G52" s="10">
        <f>26.8/200*C52</f>
        <v>26.8</v>
      </c>
      <c r="H52" s="10">
        <v>0</v>
      </c>
      <c r="I52" s="10">
        <f>0.01/200*C52</f>
        <v>0.01</v>
      </c>
      <c r="J52" s="10">
        <f>0.3/200*C52</f>
        <v>0.3</v>
      </c>
      <c r="K52" s="10">
        <v>0</v>
      </c>
      <c r="L52" s="10">
        <f>0.04/200*C52</f>
        <v>0.04</v>
      </c>
      <c r="M52" s="11">
        <f>20.8/200*C52</f>
        <v>20.8</v>
      </c>
      <c r="N52" s="12">
        <f>4.5/200*C52</f>
        <v>4.5</v>
      </c>
      <c r="O52" s="12">
        <f>3.8/200*C52</f>
        <v>3.8</v>
      </c>
      <c r="P52" s="12">
        <f>7.2/200*C52</f>
        <v>7.2000000000000011</v>
      </c>
      <c r="Q52" s="12">
        <f>0.73/200*C52</f>
        <v>0.73</v>
      </c>
      <c r="R52" s="12">
        <v>0</v>
      </c>
      <c r="S52" s="157">
        <v>0</v>
      </c>
      <c r="T52" s="12">
        <v>0</v>
      </c>
    </row>
    <row r="53" spans="1:20" ht="15" customHeight="1" x14ac:dyDescent="0.25">
      <c r="A53" s="270" t="s">
        <v>124</v>
      </c>
      <c r="B53" s="35" t="s">
        <v>23</v>
      </c>
      <c r="C53" s="6">
        <v>60</v>
      </c>
      <c r="D53" s="10">
        <f>1.5/25*C53</f>
        <v>3.5999999999999996</v>
      </c>
      <c r="E53" s="10">
        <f>0.5/25*C53</f>
        <v>1.2</v>
      </c>
      <c r="F53" s="10">
        <f>10.2/25*C53</f>
        <v>24.479999999999997</v>
      </c>
      <c r="G53" s="10">
        <f>52/25*C53</f>
        <v>124.80000000000001</v>
      </c>
      <c r="H53" s="10">
        <f>0.1/25*C53</f>
        <v>0.24</v>
      </c>
      <c r="I53" s="10">
        <f>0.08/25*C53</f>
        <v>0.192</v>
      </c>
      <c r="J53" s="10">
        <v>0</v>
      </c>
      <c r="K53" s="10">
        <v>0</v>
      </c>
      <c r="L53" s="10">
        <f>0.1/25*C53</f>
        <v>0.24</v>
      </c>
      <c r="M53" s="10">
        <f>41.5/25*C53</f>
        <v>99.6</v>
      </c>
      <c r="N53" s="10">
        <f>19.75/25*C53</f>
        <v>47.400000000000006</v>
      </c>
      <c r="O53" s="10">
        <f>10/25*C53</f>
        <v>24</v>
      </c>
      <c r="P53" s="10">
        <f>31.25/25*C53</f>
        <v>75</v>
      </c>
      <c r="Q53" s="10">
        <f>10/25*C53</f>
        <v>24</v>
      </c>
      <c r="R53" s="10">
        <f>0.7/25*C53</f>
        <v>1.6799999999999997</v>
      </c>
      <c r="S53" s="172">
        <f>7.73/25*C53</f>
        <v>18.552000000000003</v>
      </c>
      <c r="T53" s="10">
        <f>12.75/25*C53</f>
        <v>30.6</v>
      </c>
    </row>
    <row r="54" spans="1:20" ht="15" customHeight="1" x14ac:dyDescent="0.25">
      <c r="A54" s="270" t="s">
        <v>124</v>
      </c>
      <c r="B54" s="32" t="s">
        <v>24</v>
      </c>
      <c r="C54" s="16">
        <v>30</v>
      </c>
      <c r="D54" s="25">
        <f>3.4/45*C54</f>
        <v>2.2666666666666666</v>
      </c>
      <c r="E54" s="25">
        <f>0.4/45*C54</f>
        <v>0.26666666666666666</v>
      </c>
      <c r="F54" s="25">
        <f>22.1/45*C54</f>
        <v>14.733333333333334</v>
      </c>
      <c r="G54" s="25">
        <f>105.8/45*C54</f>
        <v>70.533333333333331</v>
      </c>
      <c r="H54" s="25">
        <f>0.05/45*C54</f>
        <v>3.3333333333333333E-2</v>
      </c>
      <c r="I54" s="25">
        <f>0.01/45*C54</f>
        <v>6.6666666666666671E-3</v>
      </c>
      <c r="J54" s="25">
        <v>0</v>
      </c>
      <c r="K54" s="25">
        <v>0</v>
      </c>
      <c r="L54" s="25">
        <v>0</v>
      </c>
      <c r="M54" s="25">
        <f>46.5/45*C54</f>
        <v>31.000000000000004</v>
      </c>
      <c r="N54" s="27">
        <f>10/45*C54</f>
        <v>6.6666666666666661</v>
      </c>
      <c r="O54" s="27">
        <f>7/45*C54</f>
        <v>4.666666666666667</v>
      </c>
      <c r="P54" s="27">
        <f>32.5/45*C54</f>
        <v>21.666666666666668</v>
      </c>
      <c r="Q54" s="27">
        <f>1.6/45*C54</f>
        <v>1.0666666666666667</v>
      </c>
      <c r="R54" s="27">
        <f>0.55/45*C54</f>
        <v>0.3666666666666667</v>
      </c>
      <c r="S54" s="166">
        <f>3/45*C54</f>
        <v>2</v>
      </c>
      <c r="T54" s="27">
        <f>7.5/45*C54</f>
        <v>5</v>
      </c>
    </row>
    <row r="55" spans="1:20" ht="15" customHeight="1" x14ac:dyDescent="0.25">
      <c r="A55" s="270"/>
      <c r="B55" s="5"/>
      <c r="C55" s="1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2"/>
      <c r="P55" s="12"/>
      <c r="Q55" s="12"/>
      <c r="R55" s="12"/>
      <c r="S55" s="157"/>
      <c r="T55" s="12"/>
    </row>
    <row r="56" spans="1:20" ht="15" customHeight="1" x14ac:dyDescent="0.25">
      <c r="A56" s="270"/>
      <c r="B56" s="26"/>
      <c r="C56" s="26">
        <f>SUM(C48:C55)</f>
        <v>750</v>
      </c>
      <c r="D56" s="43">
        <f t="shared" ref="D56:T56" si="5">SUM(D48:D55)</f>
        <v>26.86666666666666</v>
      </c>
      <c r="E56" s="26">
        <f t="shared" si="5"/>
        <v>24.758333333333333</v>
      </c>
      <c r="F56" s="26">
        <f t="shared" si="5"/>
        <v>106.64666666666666</v>
      </c>
      <c r="G56" s="26">
        <f t="shared" si="5"/>
        <v>744.2833333333333</v>
      </c>
      <c r="H56" s="26">
        <f t="shared" si="5"/>
        <v>0.39</v>
      </c>
      <c r="I56" s="26">
        <f t="shared" si="5"/>
        <v>0.29866666666666664</v>
      </c>
      <c r="J56" s="26">
        <f t="shared" si="5"/>
        <v>315.85000000000002</v>
      </c>
      <c r="K56" s="26">
        <f t="shared" si="5"/>
        <v>0.38333333333333336</v>
      </c>
      <c r="L56" s="26">
        <f t="shared" si="5"/>
        <v>10.37</v>
      </c>
      <c r="M56" s="26">
        <f t="shared" si="5"/>
        <v>716.98333333333335</v>
      </c>
      <c r="N56" s="26">
        <f t="shared" si="5"/>
        <v>105.7</v>
      </c>
      <c r="O56" s="26">
        <f t="shared" si="5"/>
        <v>136.96666666666667</v>
      </c>
      <c r="P56" s="26">
        <f t="shared" si="5"/>
        <v>372.3</v>
      </c>
      <c r="Q56" s="26">
        <f t="shared" si="5"/>
        <v>28.111666666666668</v>
      </c>
      <c r="R56" s="26">
        <f t="shared" si="5"/>
        <v>54.163333333333334</v>
      </c>
      <c r="S56" s="63">
        <f t="shared" si="5"/>
        <v>42.477000000000004</v>
      </c>
      <c r="T56" s="26">
        <f t="shared" si="5"/>
        <v>196.21666666666667</v>
      </c>
    </row>
    <row r="57" spans="1:20" ht="15" customHeight="1" x14ac:dyDescent="0.25">
      <c r="A57" s="270"/>
      <c r="B57" s="26"/>
      <c r="C57" s="26"/>
      <c r="D57" s="43"/>
      <c r="E57" s="43"/>
      <c r="F57" s="44"/>
      <c r="G57" s="43"/>
      <c r="H57" s="43"/>
      <c r="I57" s="43"/>
      <c r="J57" s="43"/>
      <c r="K57" s="43"/>
      <c r="L57" s="43"/>
      <c r="M57" s="18"/>
      <c r="N57" s="18"/>
      <c r="O57" s="18"/>
      <c r="P57" s="18"/>
      <c r="Q57" s="18"/>
      <c r="R57" s="18"/>
      <c r="S57" s="167"/>
      <c r="T57" s="18"/>
    </row>
    <row r="58" spans="1:20" ht="15" customHeight="1" x14ac:dyDescent="0.25">
      <c r="A58" s="300" t="s">
        <v>79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10"/>
    </row>
    <row r="59" spans="1:20" ht="15" customHeight="1" x14ac:dyDescent="0.25">
      <c r="A59" s="8" t="s">
        <v>123</v>
      </c>
      <c r="B59" s="32" t="s">
        <v>122</v>
      </c>
      <c r="C59" s="9">
        <v>200</v>
      </c>
      <c r="D59" s="10">
        <f>1.6/200*C59</f>
        <v>1.6</v>
      </c>
      <c r="E59" s="10">
        <f>1.1/200*C59</f>
        <v>1.1000000000000001</v>
      </c>
      <c r="F59" s="10">
        <f>8.7/200*C59</f>
        <v>8.6999999999999993</v>
      </c>
      <c r="G59" s="10">
        <f>50.9/200*C59</f>
        <v>50.9</v>
      </c>
      <c r="H59" s="10">
        <f>0.01/200*C59</f>
        <v>0.01</v>
      </c>
      <c r="I59" s="10">
        <f>0.07/200*C59</f>
        <v>7.0000000000000007E-2</v>
      </c>
      <c r="J59" s="10">
        <f>6.9/200*C59</f>
        <v>6.9</v>
      </c>
      <c r="K59" s="10">
        <v>0</v>
      </c>
      <c r="L59" s="10">
        <f>0.3/200*C59</f>
        <v>0.3</v>
      </c>
      <c r="M59" s="21">
        <f>81.3/200*C59</f>
        <v>81.3</v>
      </c>
      <c r="N59" s="10">
        <f>57/200*C59</f>
        <v>56.999999999999993</v>
      </c>
      <c r="O59" s="10">
        <f>9.9/200*C59</f>
        <v>9.9</v>
      </c>
      <c r="P59" s="10">
        <f>46/200*C59</f>
        <v>46</v>
      </c>
      <c r="Q59" s="10">
        <f>0.77/200*C59</f>
        <v>0.77</v>
      </c>
      <c r="R59" s="10">
        <f>4.5/200*C59</f>
        <v>4.5</v>
      </c>
      <c r="S59" s="172">
        <f>0.88/200*C59</f>
        <v>0.88</v>
      </c>
      <c r="T59" s="10">
        <f>10/200*C59</f>
        <v>10</v>
      </c>
    </row>
    <row r="60" spans="1:20" ht="15" customHeight="1" x14ac:dyDescent="0.25">
      <c r="A60" s="8">
        <v>270</v>
      </c>
      <c r="B60" s="5" t="s">
        <v>42</v>
      </c>
      <c r="C60" s="26">
        <v>100</v>
      </c>
      <c r="D60" s="21">
        <v>6.14</v>
      </c>
      <c r="E60" s="21">
        <v>9.1</v>
      </c>
      <c r="F60" s="21">
        <v>41.2</v>
      </c>
      <c r="G60" s="21">
        <v>203.71</v>
      </c>
      <c r="H60" s="21">
        <f>0.1/70*C60</f>
        <v>0.14285714285714285</v>
      </c>
      <c r="I60" s="21">
        <v>0</v>
      </c>
      <c r="J60" s="21">
        <f>0.2/70*C60</f>
        <v>0.2857142857142857</v>
      </c>
      <c r="K60" s="21">
        <f>1.3/70*C60</f>
        <v>1.8571428571428572</v>
      </c>
      <c r="L60" s="21">
        <v>0</v>
      </c>
      <c r="M60" s="27">
        <f>0.1/70*C60</f>
        <v>0.14285714285714285</v>
      </c>
      <c r="N60" s="27">
        <f>45.3/70*C60</f>
        <v>64.714285714285708</v>
      </c>
      <c r="O60" s="27">
        <v>0</v>
      </c>
      <c r="P60" s="27">
        <f>0.65/70*C60</f>
        <v>0.9285714285714286</v>
      </c>
      <c r="Q60" s="27">
        <f>0.6/70*C60</f>
        <v>0.85714285714285721</v>
      </c>
      <c r="R60" s="27">
        <v>0</v>
      </c>
      <c r="S60" s="166">
        <f>0.01/70*C60</f>
        <v>1.4285714285714287E-2</v>
      </c>
      <c r="T60" s="27">
        <f>0.4/70*C60</f>
        <v>0.5714285714285714</v>
      </c>
    </row>
    <row r="61" spans="1:20" ht="15" customHeight="1" x14ac:dyDescent="0.25">
      <c r="A61" s="8"/>
      <c r="B61" s="5"/>
      <c r="C61" s="26"/>
      <c r="D61" s="43"/>
      <c r="E61" s="43"/>
      <c r="F61" s="43"/>
      <c r="G61" s="43"/>
      <c r="H61" s="43"/>
      <c r="I61" s="43"/>
      <c r="J61" s="43"/>
      <c r="K61" s="43"/>
      <c r="L61" s="43"/>
      <c r="M61" s="18"/>
      <c r="N61" s="18"/>
      <c r="O61" s="18"/>
      <c r="P61" s="18"/>
      <c r="Q61" s="18"/>
      <c r="R61" s="18"/>
      <c r="S61" s="167"/>
      <c r="T61" s="18"/>
    </row>
    <row r="62" spans="1:20" ht="15" customHeight="1" x14ac:dyDescent="0.25">
      <c r="A62" s="270"/>
      <c r="B62" s="28" t="s">
        <v>32</v>
      </c>
      <c r="C62" s="26">
        <f>SUM(C59:C61)</f>
        <v>300</v>
      </c>
      <c r="D62" s="43">
        <f t="shared" ref="D62:T62" si="6">SUM(D59:D60)</f>
        <v>7.74</v>
      </c>
      <c r="E62" s="43">
        <f t="shared" si="6"/>
        <v>10.199999999999999</v>
      </c>
      <c r="F62" s="43">
        <f t="shared" si="6"/>
        <v>49.900000000000006</v>
      </c>
      <c r="G62" s="44">
        <f t="shared" si="6"/>
        <v>254.61</v>
      </c>
      <c r="H62" s="43">
        <f t="shared" si="6"/>
        <v>0.15285714285714286</v>
      </c>
      <c r="I62" s="43">
        <f t="shared" si="6"/>
        <v>7.0000000000000007E-2</v>
      </c>
      <c r="J62" s="43">
        <f t="shared" si="6"/>
        <v>7.1857142857142859</v>
      </c>
      <c r="K62" s="43">
        <f t="shared" si="6"/>
        <v>1.8571428571428572</v>
      </c>
      <c r="L62" s="43">
        <f t="shared" si="6"/>
        <v>0.3</v>
      </c>
      <c r="M62" s="43">
        <f t="shared" si="6"/>
        <v>81.442857142857136</v>
      </c>
      <c r="N62" s="44">
        <f t="shared" si="6"/>
        <v>121.71428571428569</v>
      </c>
      <c r="O62" s="43">
        <f t="shared" si="6"/>
        <v>9.9</v>
      </c>
      <c r="P62" s="43">
        <f t="shared" si="6"/>
        <v>46.928571428571431</v>
      </c>
      <c r="Q62" s="43">
        <f t="shared" si="6"/>
        <v>1.6271428571428572</v>
      </c>
      <c r="R62" s="43">
        <f t="shared" si="6"/>
        <v>4.5</v>
      </c>
      <c r="S62" s="168">
        <f t="shared" si="6"/>
        <v>0.89428571428571424</v>
      </c>
      <c r="T62" s="43">
        <f t="shared" si="6"/>
        <v>10.571428571428571</v>
      </c>
    </row>
    <row r="63" spans="1:20" ht="15" customHeight="1" x14ac:dyDescent="0.25">
      <c r="A63" s="45"/>
      <c r="B63" s="28" t="s">
        <v>33</v>
      </c>
      <c r="C63" s="26">
        <f>C62+C56+C46</f>
        <v>1575</v>
      </c>
      <c r="D63" s="43">
        <f t="shared" ref="D63:T63" si="7">D62+D56+D46</f>
        <v>53.606666666666655</v>
      </c>
      <c r="E63" s="26">
        <f t="shared" si="7"/>
        <v>54.155000000000001</v>
      </c>
      <c r="F63" s="26">
        <f t="shared" si="7"/>
        <v>239.18</v>
      </c>
      <c r="G63" s="26">
        <f t="shared" si="7"/>
        <v>1509.1933333333334</v>
      </c>
      <c r="H63" s="43">
        <f t="shared" si="7"/>
        <v>0.97119047619047627</v>
      </c>
      <c r="I63" s="43">
        <f t="shared" si="7"/>
        <v>0.87883333333333336</v>
      </c>
      <c r="J63" s="26">
        <f t="shared" si="7"/>
        <v>431.33571428571435</v>
      </c>
      <c r="K63" s="43">
        <f t="shared" si="7"/>
        <v>2.5529761904761905</v>
      </c>
      <c r="L63" s="26">
        <f t="shared" si="7"/>
        <v>12.254999999999999</v>
      </c>
      <c r="M63" s="26">
        <f t="shared" si="7"/>
        <v>1382.2261904761904</v>
      </c>
      <c r="N63" s="26">
        <f t="shared" si="7"/>
        <v>711.53095238095239</v>
      </c>
      <c r="O63" s="26">
        <f t="shared" si="7"/>
        <v>264.08333333333337</v>
      </c>
      <c r="P63" s="26">
        <f t="shared" si="7"/>
        <v>915.89523809523814</v>
      </c>
      <c r="Q63" s="26">
        <f t="shared" si="7"/>
        <v>45.695476190476192</v>
      </c>
      <c r="R63" s="26">
        <f t="shared" si="7"/>
        <v>72.52</v>
      </c>
      <c r="S63" s="26">
        <f t="shared" si="7"/>
        <v>62.992285714285721</v>
      </c>
      <c r="T63" s="26">
        <f t="shared" si="7"/>
        <v>308.83809523809526</v>
      </c>
    </row>
    <row r="64" spans="1:20" ht="15" customHeight="1" x14ac:dyDescent="0.25">
      <c r="A64" s="293" t="s">
        <v>34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307"/>
    </row>
    <row r="65" spans="1:20" ht="15" customHeight="1" x14ac:dyDescent="0.25">
      <c r="A65" s="293" t="s">
        <v>43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307"/>
    </row>
    <row r="66" spans="1:20" ht="15" customHeight="1" x14ac:dyDescent="0.25">
      <c r="A66" s="285" t="s">
        <v>18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308"/>
    </row>
    <row r="67" spans="1:20" ht="15" customHeight="1" x14ac:dyDescent="0.25">
      <c r="A67" s="287" t="s">
        <v>19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309"/>
    </row>
    <row r="68" spans="1:20" ht="15" customHeight="1" x14ac:dyDescent="0.25">
      <c r="A68" s="14" t="s">
        <v>141</v>
      </c>
      <c r="B68" s="4" t="s">
        <v>143</v>
      </c>
      <c r="C68" s="16">
        <v>250</v>
      </c>
      <c r="D68" s="11">
        <v>7.5</v>
      </c>
      <c r="E68" s="11">
        <f>5.8/200*C68</f>
        <v>7.2499999999999991</v>
      </c>
      <c r="F68" s="11">
        <f>32.1/200*C68</f>
        <v>40.125</v>
      </c>
      <c r="G68" s="11">
        <f>208.3/200*C68</f>
        <v>260.375</v>
      </c>
      <c r="H68" s="118">
        <f>0.12/200*C68</f>
        <v>0.15</v>
      </c>
      <c r="I68" s="118">
        <f>0.15/200*C68</f>
        <v>0.1875</v>
      </c>
      <c r="J68" s="118">
        <f>26.7/200*C68</f>
        <v>33.375</v>
      </c>
      <c r="K68" s="118">
        <f>0.07/200*C68</f>
        <v>8.7500000000000008E-2</v>
      </c>
      <c r="L68" s="118">
        <f>0.52/200*C68</f>
        <v>0.65</v>
      </c>
      <c r="M68" s="118">
        <f>199/200*C68</f>
        <v>248.75</v>
      </c>
      <c r="N68" s="118">
        <f>124/200*C68</f>
        <v>155</v>
      </c>
      <c r="O68" s="119">
        <f>33/200*C68</f>
        <v>41.25</v>
      </c>
      <c r="P68" s="120">
        <f>176/200*C68</f>
        <v>220</v>
      </c>
      <c r="Q68" s="120">
        <f>1.78/200*C68</f>
        <v>2.2250000000000001</v>
      </c>
      <c r="R68" s="118">
        <f>49/200*C68</f>
        <v>61.25</v>
      </c>
      <c r="S68" s="192">
        <f>26.7/200*C68</f>
        <v>33.375</v>
      </c>
      <c r="T68" s="120">
        <f>20/200*C68</f>
        <v>25</v>
      </c>
    </row>
    <row r="69" spans="1:20" ht="15" customHeight="1" x14ac:dyDescent="0.25">
      <c r="A69" s="8" t="s">
        <v>140</v>
      </c>
      <c r="B69" s="32" t="s">
        <v>20</v>
      </c>
      <c r="C69" s="9">
        <v>200</v>
      </c>
      <c r="D69" s="10">
        <f>0.2/200*C69</f>
        <v>0.2</v>
      </c>
      <c r="E69" s="10">
        <v>0</v>
      </c>
      <c r="F69" s="10">
        <f>6.5/200*C69</f>
        <v>6.5</v>
      </c>
      <c r="G69" s="10">
        <f>26.8/200*C69</f>
        <v>26.8</v>
      </c>
      <c r="H69" s="10">
        <v>0</v>
      </c>
      <c r="I69" s="10">
        <f>0.01/200*C69</f>
        <v>0.01</v>
      </c>
      <c r="J69" s="10">
        <f>0.3/200*C69</f>
        <v>0.3</v>
      </c>
      <c r="K69" s="10">
        <v>0</v>
      </c>
      <c r="L69" s="10">
        <f>0.04/200*C69</f>
        <v>0.04</v>
      </c>
      <c r="M69" s="11">
        <f>20.8/200*C69</f>
        <v>20.8</v>
      </c>
      <c r="N69" s="12">
        <f>4.5/200*C69</f>
        <v>4.5</v>
      </c>
      <c r="O69" s="12">
        <f>3.8/200*C69</f>
        <v>3.8</v>
      </c>
      <c r="P69" s="12">
        <f>7.2/200*C69</f>
        <v>7.2000000000000011</v>
      </c>
      <c r="Q69" s="12">
        <f>0.73/200*C69</f>
        <v>0.73</v>
      </c>
      <c r="R69" s="12">
        <v>0</v>
      </c>
      <c r="S69" s="157">
        <v>0</v>
      </c>
      <c r="T69" s="12">
        <v>0</v>
      </c>
    </row>
    <row r="70" spans="1:20" ht="15" customHeight="1" x14ac:dyDescent="0.25">
      <c r="A70" s="4" t="s">
        <v>191</v>
      </c>
      <c r="B70" s="35" t="s">
        <v>21</v>
      </c>
      <c r="C70" s="6">
        <v>10</v>
      </c>
      <c r="D70" s="61">
        <v>5</v>
      </c>
      <c r="E70" s="61">
        <v>10</v>
      </c>
      <c r="F70" s="61">
        <f>7.2/10*C70</f>
        <v>7.1999999999999993</v>
      </c>
      <c r="G70" s="61">
        <f>1/10*C70</f>
        <v>1</v>
      </c>
      <c r="H70" s="61">
        <f>66.1/10*C70</f>
        <v>66.099999999999994</v>
      </c>
      <c r="I70" s="140">
        <f>0.01/10*C70</f>
        <v>0.01</v>
      </c>
      <c r="J70" s="61">
        <f>45/10*C70</f>
        <v>45</v>
      </c>
      <c r="K70" s="93">
        <f>0.13/10*C70</f>
        <v>0.13</v>
      </c>
      <c r="L70" s="93">
        <v>0</v>
      </c>
      <c r="M70" s="93">
        <f>3/10*C70</f>
        <v>3</v>
      </c>
      <c r="N70" s="93">
        <f>2.4/10*C70</f>
        <v>2.4</v>
      </c>
      <c r="O70" s="61">
        <v>0</v>
      </c>
      <c r="P70" s="61">
        <f>3/10*C70</f>
        <v>3</v>
      </c>
      <c r="Q70" s="93">
        <f>0.02/10*C70</f>
        <v>0.02</v>
      </c>
      <c r="R70" s="94">
        <v>0</v>
      </c>
      <c r="S70" s="180">
        <f>0.1/10*C70</f>
        <v>0.1</v>
      </c>
      <c r="T70" s="61">
        <f>0.3/10*C70</f>
        <v>0.3</v>
      </c>
    </row>
    <row r="71" spans="1:20" ht="15" customHeight="1" x14ac:dyDescent="0.25">
      <c r="A71" s="14" t="s">
        <v>124</v>
      </c>
      <c r="B71" s="35" t="s">
        <v>23</v>
      </c>
      <c r="C71" s="6">
        <v>25</v>
      </c>
      <c r="D71" s="10">
        <f>1.5/25*C71</f>
        <v>1.5</v>
      </c>
      <c r="E71" s="10">
        <f>0.5/25*C71</f>
        <v>0.5</v>
      </c>
      <c r="F71" s="10">
        <f>10.2/25*C71</f>
        <v>10.199999999999999</v>
      </c>
      <c r="G71" s="10">
        <f>52/25*C71</f>
        <v>52</v>
      </c>
      <c r="H71" s="10">
        <f>0.1/25*C71</f>
        <v>0.1</v>
      </c>
      <c r="I71" s="10">
        <f>0.08/25*C71</f>
        <v>0.08</v>
      </c>
      <c r="J71" s="10">
        <v>0</v>
      </c>
      <c r="K71" s="10">
        <v>0</v>
      </c>
      <c r="L71" s="10">
        <f>0.1/25*C71</f>
        <v>0.1</v>
      </c>
      <c r="M71" s="10">
        <f>41.5/25*C71</f>
        <v>41.5</v>
      </c>
      <c r="N71" s="10">
        <f>19.75/25*C71</f>
        <v>19.75</v>
      </c>
      <c r="O71" s="10">
        <f>10/25*C71</f>
        <v>10</v>
      </c>
      <c r="P71" s="10">
        <f>31.25/25*C71</f>
        <v>31.25</v>
      </c>
      <c r="Q71" s="10">
        <f>10/25*C71</f>
        <v>10</v>
      </c>
      <c r="R71" s="10">
        <f>0.7/25*C71</f>
        <v>0.7</v>
      </c>
      <c r="S71" s="172">
        <f>7.73/25*C71</f>
        <v>7.73</v>
      </c>
      <c r="T71" s="10">
        <f>12.75/25*C71</f>
        <v>12.75</v>
      </c>
    </row>
    <row r="72" spans="1:20" ht="15" customHeight="1" x14ac:dyDescent="0.25">
      <c r="A72" s="14" t="s">
        <v>124</v>
      </c>
      <c r="B72" s="32" t="s">
        <v>24</v>
      </c>
      <c r="C72" s="16">
        <v>40</v>
      </c>
      <c r="D72" s="25">
        <f>3.4/45*C72</f>
        <v>3.0222222222222221</v>
      </c>
      <c r="E72" s="25">
        <f>0.4/45*C72</f>
        <v>0.35555555555555557</v>
      </c>
      <c r="F72" s="25">
        <f>22.1/45*C72</f>
        <v>19.644444444444446</v>
      </c>
      <c r="G72" s="25">
        <f>105.8/45*C72</f>
        <v>94.044444444444437</v>
      </c>
      <c r="H72" s="25">
        <f>0.05/45*C72</f>
        <v>4.4444444444444446E-2</v>
      </c>
      <c r="I72" s="25">
        <f>0.01/45*C72</f>
        <v>8.8888888888888889E-3</v>
      </c>
      <c r="J72" s="25">
        <v>0</v>
      </c>
      <c r="K72" s="25">
        <v>0</v>
      </c>
      <c r="L72" s="25">
        <v>0</v>
      </c>
      <c r="M72" s="25">
        <f>46.5/45*C72</f>
        <v>41.333333333333336</v>
      </c>
      <c r="N72" s="27">
        <f>10/45*C72</f>
        <v>8.8888888888888893</v>
      </c>
      <c r="O72" s="27">
        <f>7/45*C72</f>
        <v>6.2222222222222223</v>
      </c>
      <c r="P72" s="27">
        <f>32.5/45*C72</f>
        <v>28.888888888888889</v>
      </c>
      <c r="Q72" s="27">
        <f>1.6/45*C72</f>
        <v>1.4222222222222223</v>
      </c>
      <c r="R72" s="27">
        <f>0.55/45*C72</f>
        <v>0.48888888888888893</v>
      </c>
      <c r="S72" s="166">
        <f>3/45*C72</f>
        <v>2.6666666666666665</v>
      </c>
      <c r="T72" s="27">
        <f>7.5/45*C72</f>
        <v>6.6666666666666661</v>
      </c>
    </row>
    <row r="73" spans="1:20" ht="15" customHeight="1" x14ac:dyDescent="0.25">
      <c r="A73" s="15"/>
      <c r="B73" s="32"/>
      <c r="C73" s="16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2"/>
      <c r="R73" s="12"/>
      <c r="S73" s="157"/>
      <c r="T73" s="12"/>
    </row>
    <row r="74" spans="1:20" ht="15" customHeight="1" x14ac:dyDescent="0.25">
      <c r="A74" s="14"/>
      <c r="B74" s="6" t="s">
        <v>25</v>
      </c>
      <c r="C74" s="46">
        <f>SUM(C68:C73)</f>
        <v>525</v>
      </c>
      <c r="D74" s="47">
        <f t="shared" ref="D74:T74" si="8">SUM(D68:D73)</f>
        <v>17.222222222222221</v>
      </c>
      <c r="E74" s="47">
        <f t="shared" si="8"/>
        <v>18.105555555555554</v>
      </c>
      <c r="F74" s="46">
        <f t="shared" si="8"/>
        <v>83.669444444444451</v>
      </c>
      <c r="G74" s="47">
        <f t="shared" si="8"/>
        <v>434.21944444444443</v>
      </c>
      <c r="H74" s="46">
        <f t="shared" si="8"/>
        <v>66.394444444444446</v>
      </c>
      <c r="I74" s="47">
        <f t="shared" si="8"/>
        <v>0.29638888888888892</v>
      </c>
      <c r="J74" s="46">
        <f t="shared" si="8"/>
        <v>78.674999999999997</v>
      </c>
      <c r="K74" s="46">
        <f t="shared" si="8"/>
        <v>0.21750000000000003</v>
      </c>
      <c r="L74" s="46">
        <f t="shared" si="8"/>
        <v>0.79</v>
      </c>
      <c r="M74" s="46">
        <f t="shared" si="8"/>
        <v>355.38333333333333</v>
      </c>
      <c r="N74" s="46">
        <f t="shared" si="8"/>
        <v>190.53888888888889</v>
      </c>
      <c r="O74" s="46">
        <f t="shared" si="8"/>
        <v>61.272222222222219</v>
      </c>
      <c r="P74" s="46">
        <f t="shared" si="8"/>
        <v>290.3388888888889</v>
      </c>
      <c r="Q74" s="46">
        <f t="shared" si="8"/>
        <v>14.397222222222222</v>
      </c>
      <c r="R74" s="46">
        <f t="shared" si="8"/>
        <v>62.43888888888889</v>
      </c>
      <c r="S74" s="20">
        <f t="shared" si="8"/>
        <v>43.871666666666663</v>
      </c>
      <c r="T74" s="46">
        <f t="shared" si="8"/>
        <v>44.716666666666661</v>
      </c>
    </row>
    <row r="75" spans="1:20" ht="15" customHeight="1" x14ac:dyDescent="0.25">
      <c r="A75" s="305" t="s">
        <v>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67"/>
      <c r="N75" s="67"/>
      <c r="O75" s="67"/>
      <c r="P75" s="67"/>
      <c r="Q75" s="67"/>
      <c r="R75" s="67"/>
      <c r="S75" s="169"/>
      <c r="T75" s="48"/>
    </row>
    <row r="76" spans="1:20" ht="15" customHeight="1" x14ac:dyDescent="0.25">
      <c r="A76" s="49" t="s">
        <v>144</v>
      </c>
      <c r="B76" s="5" t="s">
        <v>81</v>
      </c>
      <c r="C76" s="90">
        <v>60</v>
      </c>
      <c r="D76" s="215">
        <f>0.8/60*C76</f>
        <v>0.8</v>
      </c>
      <c r="E76" s="61">
        <f>2.7/60*C76</f>
        <v>2.7</v>
      </c>
      <c r="F76" s="61">
        <f>4.6/60*C76</f>
        <v>4.5999999999999996</v>
      </c>
      <c r="G76" s="61">
        <f>45.6/60*C76</f>
        <v>45.6</v>
      </c>
      <c r="H76" s="61">
        <f>0.01/60*C76</f>
        <v>0.01</v>
      </c>
      <c r="I76" s="61">
        <f>0.02/60*C76</f>
        <v>0.02</v>
      </c>
      <c r="J76" s="61">
        <f>0.68/60*C76</f>
        <v>0.68</v>
      </c>
      <c r="K76" s="61">
        <v>0</v>
      </c>
      <c r="L76" s="61">
        <f>2.28/60*C76</f>
        <v>2.2799999999999998</v>
      </c>
      <c r="M76" s="61">
        <f>136/60*C76</f>
        <v>136</v>
      </c>
      <c r="N76" s="61">
        <f>19/60*C76</f>
        <v>19</v>
      </c>
      <c r="O76" s="61">
        <f>11/60*C76</f>
        <v>11</v>
      </c>
      <c r="P76" s="61">
        <f>22/60*C76</f>
        <v>22</v>
      </c>
      <c r="Q76" s="61">
        <f>0.7/60*C76</f>
        <v>0.7</v>
      </c>
      <c r="R76" s="61">
        <f>12/60*C76</f>
        <v>12</v>
      </c>
      <c r="S76" s="133">
        <f>0.35/60*C76</f>
        <v>0.35</v>
      </c>
      <c r="T76" s="61">
        <f>11/60*C76</f>
        <v>11</v>
      </c>
    </row>
    <row r="77" spans="1:20" ht="15" customHeight="1" x14ac:dyDescent="0.25">
      <c r="A77" s="269">
        <v>63</v>
      </c>
      <c r="B77" s="243" t="s">
        <v>104</v>
      </c>
      <c r="C77" s="122">
        <v>180</v>
      </c>
      <c r="D77" s="42">
        <f>4.6/200*C77</f>
        <v>4.1399999999999997</v>
      </c>
      <c r="E77" s="42">
        <f>3.2/200*C77</f>
        <v>2.88</v>
      </c>
      <c r="F77" s="42">
        <f>9.8/200*C77</f>
        <v>8.82</v>
      </c>
      <c r="G77" s="42">
        <f>86/200*C77</f>
        <v>77.400000000000006</v>
      </c>
      <c r="H77" s="124">
        <f>0.05/200*C77</f>
        <v>4.4999999999999998E-2</v>
      </c>
      <c r="I77" s="124">
        <f>0.7/200*C77</f>
        <v>0.62999999999999989</v>
      </c>
      <c r="J77" s="124">
        <f>0.17/200*C77</f>
        <v>0.15300000000000002</v>
      </c>
      <c r="K77" s="124">
        <f>36.4/200*C77</f>
        <v>32.76</v>
      </c>
      <c r="L77" s="124">
        <f>9.6/200*C77</f>
        <v>8.64</v>
      </c>
      <c r="M77" s="124">
        <f>270.4/200*C77</f>
        <v>243.35999999999999</v>
      </c>
      <c r="N77" s="124">
        <f>20.6/200*C77</f>
        <v>18.540000000000003</v>
      </c>
      <c r="O77" s="124">
        <f>15.7/200*C77</f>
        <v>14.13</v>
      </c>
      <c r="P77" s="124">
        <f>30/200*C77</f>
        <v>27</v>
      </c>
      <c r="Q77" s="124">
        <f>4.62/200*C77</f>
        <v>4.1579999999999995</v>
      </c>
      <c r="R77" s="124">
        <f>0.85/200*C77</f>
        <v>0.76500000000000001</v>
      </c>
      <c r="S77" s="124">
        <f>2.62/200*C77</f>
        <v>2.3580000000000001</v>
      </c>
      <c r="T77" s="25">
        <f>154/200*C77</f>
        <v>138.6</v>
      </c>
    </row>
    <row r="78" spans="1:20" ht="15" customHeight="1" x14ac:dyDescent="0.25">
      <c r="A78" s="4" t="s">
        <v>145</v>
      </c>
      <c r="B78" s="32" t="s">
        <v>106</v>
      </c>
      <c r="C78" s="51">
        <v>150</v>
      </c>
      <c r="D78" s="25">
        <f>8.2/150*C78</f>
        <v>8.1999999999999993</v>
      </c>
      <c r="E78" s="25">
        <f>6.3/150*C78</f>
        <v>6.2999999999999989</v>
      </c>
      <c r="F78" s="25">
        <f>35.9/150*C78</f>
        <v>35.9</v>
      </c>
      <c r="G78" s="86">
        <f>233.7/150*C78</f>
        <v>233.7</v>
      </c>
      <c r="H78" s="61">
        <f>0.21/150*C78</f>
        <v>0.21</v>
      </c>
      <c r="I78" s="61">
        <f>0.12/150*C78</f>
        <v>0.12</v>
      </c>
      <c r="J78" s="61">
        <f>19.2/150*C78</f>
        <v>19.2</v>
      </c>
      <c r="K78" s="61">
        <f>0.09/150*C78</f>
        <v>0.09</v>
      </c>
      <c r="L78" s="61">
        <v>0</v>
      </c>
      <c r="M78" s="61">
        <f>219/150*C78</f>
        <v>219</v>
      </c>
      <c r="N78" s="61">
        <f>15/150*C78</f>
        <v>15</v>
      </c>
      <c r="O78" s="61">
        <f>120/150*C78</f>
        <v>120</v>
      </c>
      <c r="P78" s="61">
        <f>181/150*C78</f>
        <v>181.00000000000003</v>
      </c>
      <c r="Q78" s="61">
        <f>4.04/150*C78</f>
        <v>4.04</v>
      </c>
      <c r="R78" s="61">
        <f>22/150*C78</f>
        <v>22</v>
      </c>
      <c r="S78" s="133">
        <f>3.52/150*C78</f>
        <v>3.52</v>
      </c>
      <c r="T78" s="61">
        <f>16/150*C78</f>
        <v>16</v>
      </c>
    </row>
    <row r="79" spans="1:20" ht="15" customHeight="1" x14ac:dyDescent="0.25">
      <c r="A79" s="14" t="s">
        <v>146</v>
      </c>
      <c r="B79" s="35" t="s">
        <v>59</v>
      </c>
      <c r="C79" s="6">
        <v>80</v>
      </c>
      <c r="D79" s="7">
        <v>5.7</v>
      </c>
      <c r="E79" s="7">
        <f>13.1/80*C79</f>
        <v>13.100000000000001</v>
      </c>
      <c r="F79" s="7">
        <f>12.4/80*C79</f>
        <v>12.4</v>
      </c>
      <c r="G79" s="7">
        <v>182.3</v>
      </c>
      <c r="H79" s="7">
        <f>0.05/80*C79</f>
        <v>0.05</v>
      </c>
      <c r="I79" s="7">
        <f>0.12/80*C79</f>
        <v>0.12</v>
      </c>
      <c r="J79" s="7">
        <f>16.6/80*C79</f>
        <v>16.600000000000001</v>
      </c>
      <c r="K79" s="7">
        <f>0.07/80*C79</f>
        <v>7.0000000000000007E-2</v>
      </c>
      <c r="L79" s="7">
        <f>0.09/80*C79</f>
        <v>0.09</v>
      </c>
      <c r="M79" s="7">
        <f>221/80*C79</f>
        <v>221</v>
      </c>
      <c r="N79" s="7">
        <f>30/80*C79</f>
        <v>30</v>
      </c>
      <c r="O79" s="7">
        <f>20/80*C79</f>
        <v>20</v>
      </c>
      <c r="P79" s="7">
        <f>138/80*C79</f>
        <v>138</v>
      </c>
      <c r="Q79" s="7">
        <f>1.94/80*C79</f>
        <v>1.94</v>
      </c>
      <c r="R79" s="7">
        <f>15/80*C79</f>
        <v>15</v>
      </c>
      <c r="S79" s="7">
        <f>2.95/80*C79</f>
        <v>2.95</v>
      </c>
      <c r="T79" s="7">
        <f>46/80*C79</f>
        <v>46</v>
      </c>
    </row>
    <row r="80" spans="1:20" ht="15" customHeight="1" x14ac:dyDescent="0.25">
      <c r="A80" s="270" t="s">
        <v>147</v>
      </c>
      <c r="B80" s="5" t="s">
        <v>28</v>
      </c>
      <c r="C80" s="24">
        <v>200</v>
      </c>
      <c r="D80" s="25">
        <f>0.5/200*C80</f>
        <v>0.5</v>
      </c>
      <c r="E80" s="25">
        <v>0</v>
      </c>
      <c r="F80" s="25">
        <f>19.8/200*C80</f>
        <v>19.8</v>
      </c>
      <c r="G80" s="86">
        <f>81/200*C80</f>
        <v>81</v>
      </c>
      <c r="H80" s="126">
        <v>0</v>
      </c>
      <c r="I80" s="126">
        <v>0</v>
      </c>
      <c r="J80" s="126">
        <f>15/200*C80</f>
        <v>15</v>
      </c>
      <c r="K80" s="126">
        <v>0</v>
      </c>
      <c r="L80" s="126">
        <f>0.02/200*C80</f>
        <v>0.02</v>
      </c>
      <c r="M80" s="126">
        <f>0.17/200*C80</f>
        <v>0.17</v>
      </c>
      <c r="N80" s="126">
        <f>50/200*C80</f>
        <v>50</v>
      </c>
      <c r="O80" s="126">
        <f>2.1/200*C81</f>
        <v>0.52500000000000002</v>
      </c>
      <c r="P80" s="126">
        <f>4.3/200*C80</f>
        <v>4.3</v>
      </c>
      <c r="Q80" s="126">
        <f>0.09/200*C80</f>
        <v>0.09</v>
      </c>
      <c r="R80" s="126">
        <v>0</v>
      </c>
      <c r="S80" s="233">
        <v>0</v>
      </c>
      <c r="T80" s="126">
        <v>0</v>
      </c>
    </row>
    <row r="81" spans="1:20" ht="15" customHeight="1" x14ac:dyDescent="0.25">
      <c r="A81" s="4" t="s">
        <v>124</v>
      </c>
      <c r="B81" s="35" t="s">
        <v>23</v>
      </c>
      <c r="C81" s="6">
        <v>50</v>
      </c>
      <c r="D81" s="10">
        <f>1.5/25*C81</f>
        <v>3</v>
      </c>
      <c r="E81" s="10">
        <f>0.5/25*C81</f>
        <v>1</v>
      </c>
      <c r="F81" s="10">
        <f>10.2/25*C81</f>
        <v>20.399999999999999</v>
      </c>
      <c r="G81" s="10">
        <f>52/25*C81</f>
        <v>104</v>
      </c>
      <c r="H81" s="10">
        <f>0.1/25*C81</f>
        <v>0.2</v>
      </c>
      <c r="I81" s="10">
        <f>0.08/25*C81</f>
        <v>0.16</v>
      </c>
      <c r="J81" s="10">
        <v>0</v>
      </c>
      <c r="K81" s="10">
        <v>0</v>
      </c>
      <c r="L81" s="10">
        <f>0.1/25*C81</f>
        <v>0.2</v>
      </c>
      <c r="M81" s="10">
        <f>41.5/25*C81</f>
        <v>83</v>
      </c>
      <c r="N81" s="10">
        <f>19.75/25*C81</f>
        <v>39.5</v>
      </c>
      <c r="O81" s="10">
        <f>10/25*C81</f>
        <v>20</v>
      </c>
      <c r="P81" s="10">
        <f>31.25/25*C81</f>
        <v>62.5</v>
      </c>
      <c r="Q81" s="10">
        <f>10/25*C81</f>
        <v>20</v>
      </c>
      <c r="R81" s="10">
        <f>0.7/25*C81</f>
        <v>1.4</v>
      </c>
      <c r="S81" s="172">
        <f>7.73/25*C81</f>
        <v>15.46</v>
      </c>
      <c r="T81" s="10">
        <f>12.75/25*C81</f>
        <v>25.5</v>
      </c>
    </row>
    <row r="82" spans="1:20" ht="15" customHeight="1" x14ac:dyDescent="0.25">
      <c r="A82" s="4" t="s">
        <v>124</v>
      </c>
      <c r="B82" s="32" t="s">
        <v>24</v>
      </c>
      <c r="C82" s="16">
        <v>30</v>
      </c>
      <c r="D82" s="25">
        <f>3.4/45*C82</f>
        <v>2.2666666666666666</v>
      </c>
      <c r="E82" s="25">
        <f>0.4/45*C82</f>
        <v>0.26666666666666666</v>
      </c>
      <c r="F82" s="25">
        <f>22.1/45*C82</f>
        <v>14.733333333333334</v>
      </c>
      <c r="G82" s="25">
        <f>105.8/45*C82</f>
        <v>70.533333333333331</v>
      </c>
      <c r="H82" s="25">
        <f>0.05/45*C82</f>
        <v>3.3333333333333333E-2</v>
      </c>
      <c r="I82" s="25">
        <f>0.01/45*C82</f>
        <v>6.6666666666666671E-3</v>
      </c>
      <c r="J82" s="25">
        <v>0</v>
      </c>
      <c r="K82" s="25">
        <v>0</v>
      </c>
      <c r="L82" s="25">
        <v>0</v>
      </c>
      <c r="M82" s="25">
        <f>46.5/45*C82</f>
        <v>31.000000000000004</v>
      </c>
      <c r="N82" s="27">
        <f>10/45*C82</f>
        <v>6.6666666666666661</v>
      </c>
      <c r="O82" s="27">
        <f>7/45*C82</f>
        <v>4.666666666666667</v>
      </c>
      <c r="P82" s="27">
        <f>32.5/45*C82</f>
        <v>21.666666666666668</v>
      </c>
      <c r="Q82" s="27">
        <f>1.6/45*C82</f>
        <v>1.0666666666666667</v>
      </c>
      <c r="R82" s="27">
        <f>0.55/45*C82</f>
        <v>0.3666666666666667</v>
      </c>
      <c r="S82" s="166">
        <f>3/45*C82</f>
        <v>2</v>
      </c>
      <c r="T82" s="27">
        <f>7.5/45*C82</f>
        <v>5</v>
      </c>
    </row>
    <row r="83" spans="1:20" ht="15" customHeight="1" x14ac:dyDescent="0.25">
      <c r="A83" s="4"/>
      <c r="B83" s="99"/>
      <c r="C83" s="100"/>
      <c r="D83" s="87"/>
      <c r="E83" s="87"/>
      <c r="F83" s="87"/>
      <c r="G83" s="87"/>
      <c r="H83" s="11"/>
      <c r="I83" s="11"/>
      <c r="J83" s="11"/>
      <c r="K83" s="11"/>
      <c r="L83" s="11"/>
      <c r="M83" s="11"/>
      <c r="N83" s="12"/>
      <c r="O83" s="12"/>
      <c r="P83" s="12"/>
      <c r="Q83" s="12"/>
      <c r="R83" s="12"/>
      <c r="S83" s="157"/>
      <c r="T83" s="12"/>
    </row>
    <row r="84" spans="1:20" ht="15" customHeight="1" x14ac:dyDescent="0.25">
      <c r="A84" s="4"/>
      <c r="B84" s="28" t="s">
        <v>29</v>
      </c>
      <c r="C84" s="28">
        <f t="shared" ref="C84:T84" si="9">SUM(C76:C83)</f>
        <v>750</v>
      </c>
      <c r="D84" s="54">
        <f t="shared" si="9"/>
        <v>24.606666666666666</v>
      </c>
      <c r="E84" s="28">
        <f t="shared" si="9"/>
        <v>26.246666666666666</v>
      </c>
      <c r="F84" s="28">
        <f t="shared" si="9"/>
        <v>116.65333333333332</v>
      </c>
      <c r="G84" s="54">
        <f t="shared" si="9"/>
        <v>794.5333333333333</v>
      </c>
      <c r="H84" s="28">
        <f t="shared" si="9"/>
        <v>0.54833333333333334</v>
      </c>
      <c r="I84" s="28">
        <f t="shared" si="9"/>
        <v>1.0566666666666664</v>
      </c>
      <c r="J84" s="28">
        <f t="shared" si="9"/>
        <v>51.632999999999996</v>
      </c>
      <c r="K84" s="28">
        <f t="shared" si="9"/>
        <v>32.92</v>
      </c>
      <c r="L84" s="28">
        <f t="shared" si="9"/>
        <v>11.229999999999999</v>
      </c>
      <c r="M84" s="28">
        <f t="shared" si="9"/>
        <v>933.53</v>
      </c>
      <c r="N84" s="28">
        <f t="shared" si="9"/>
        <v>178.70666666666668</v>
      </c>
      <c r="O84" s="28">
        <f t="shared" si="9"/>
        <v>190.32166666666666</v>
      </c>
      <c r="P84" s="28">
        <f t="shared" si="9"/>
        <v>456.4666666666667</v>
      </c>
      <c r="Q84" s="28">
        <f t="shared" si="9"/>
        <v>31.994666666666664</v>
      </c>
      <c r="R84" s="28">
        <f t="shared" si="9"/>
        <v>51.531666666666666</v>
      </c>
      <c r="S84" s="51">
        <f t="shared" si="9"/>
        <v>26.638000000000002</v>
      </c>
      <c r="T84" s="28">
        <f t="shared" si="9"/>
        <v>242.1</v>
      </c>
    </row>
    <row r="85" spans="1:20" ht="15" customHeight="1" x14ac:dyDescent="0.25">
      <c r="A85" s="289" t="s">
        <v>82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</row>
    <row r="86" spans="1:20" ht="15" customHeight="1" x14ac:dyDescent="0.25">
      <c r="A86" s="4" t="s">
        <v>148</v>
      </c>
      <c r="B86" s="32" t="s">
        <v>66</v>
      </c>
      <c r="C86" s="28">
        <v>150</v>
      </c>
      <c r="D86" s="56">
        <v>9.6999999999999993</v>
      </c>
      <c r="E86" s="56">
        <f>10.7/150*C86</f>
        <v>10.7</v>
      </c>
      <c r="F86" s="56">
        <v>31.7</v>
      </c>
      <c r="G86" s="56">
        <f>301.2/150*C86</f>
        <v>301.2</v>
      </c>
      <c r="H86" s="56">
        <f>0.06/150*C86</f>
        <v>0.06</v>
      </c>
      <c r="I86" s="56">
        <f>0.3/150*C86</f>
        <v>0.3</v>
      </c>
      <c r="J86" s="56">
        <f>51.1/150*C86</f>
        <v>51.1</v>
      </c>
      <c r="K86" s="56">
        <f>0.16/150*C86</f>
        <v>0.16</v>
      </c>
      <c r="L86" s="56">
        <f>0.29/150*C86</f>
        <v>0.28999999999999998</v>
      </c>
      <c r="M86" s="129">
        <f>159/150*C86</f>
        <v>159</v>
      </c>
      <c r="N86" s="129">
        <f>224/150*C86</f>
        <v>224</v>
      </c>
      <c r="O86" s="129">
        <f>32/150*C86</f>
        <v>32</v>
      </c>
      <c r="P86" s="7">
        <f>291/150*C86</f>
        <v>291</v>
      </c>
      <c r="Q86" s="7">
        <f>0.86/150*C86</f>
        <v>0.86</v>
      </c>
      <c r="R86" s="7">
        <f>29/150*C86</f>
        <v>29</v>
      </c>
      <c r="S86" s="128">
        <f>39/150*C86</f>
        <v>39</v>
      </c>
      <c r="T86" s="7">
        <f>50/150*C86</f>
        <v>50</v>
      </c>
    </row>
    <row r="87" spans="1:20" ht="15" customHeight="1" x14ac:dyDescent="0.25">
      <c r="A87" s="8" t="s">
        <v>140</v>
      </c>
      <c r="B87" s="32" t="s">
        <v>20</v>
      </c>
      <c r="C87" s="9">
        <v>200</v>
      </c>
      <c r="D87" s="10">
        <f>0.2/200*C87</f>
        <v>0.2</v>
      </c>
      <c r="E87" s="10">
        <v>0</v>
      </c>
      <c r="F87" s="10">
        <f>6.5/200*C87</f>
        <v>6.5</v>
      </c>
      <c r="G87" s="10">
        <f>26.8/200*C87</f>
        <v>26.8</v>
      </c>
      <c r="H87" s="10">
        <v>0</v>
      </c>
      <c r="I87" s="10">
        <f>0.01/200*C87</f>
        <v>0.01</v>
      </c>
      <c r="J87" s="10">
        <f>0.3/200*C87</f>
        <v>0.3</v>
      </c>
      <c r="K87" s="10">
        <v>0</v>
      </c>
      <c r="L87" s="10">
        <f>0.04/200*C87</f>
        <v>0.04</v>
      </c>
      <c r="M87" s="11">
        <f>20.8/200*C87</f>
        <v>20.8</v>
      </c>
      <c r="N87" s="12">
        <f>4.5/200*C87</f>
        <v>4.5</v>
      </c>
      <c r="O87" s="12">
        <f>3.8/200*C87</f>
        <v>3.8</v>
      </c>
      <c r="P87" s="12">
        <f>7.2/200*C87</f>
        <v>7.2000000000000011</v>
      </c>
      <c r="Q87" s="12">
        <f>0.73/200*C87</f>
        <v>0.73</v>
      </c>
      <c r="R87" s="12">
        <v>0</v>
      </c>
      <c r="S87" s="157">
        <v>0</v>
      </c>
      <c r="T87" s="12">
        <v>0</v>
      </c>
    </row>
    <row r="88" spans="1:20" ht="15" customHeight="1" x14ac:dyDescent="0.25">
      <c r="A88" s="4"/>
      <c r="B88" s="4"/>
      <c r="C88" s="28"/>
      <c r="D88" s="56"/>
      <c r="E88" s="56"/>
      <c r="F88" s="56"/>
      <c r="G88" s="56"/>
      <c r="H88" s="56"/>
      <c r="I88" s="56"/>
      <c r="J88" s="56"/>
      <c r="K88" s="56"/>
      <c r="L88" s="56"/>
      <c r="M88" s="57"/>
      <c r="N88" s="57"/>
      <c r="O88" s="57"/>
      <c r="P88" s="12"/>
      <c r="Q88" s="12"/>
      <c r="R88" s="12"/>
      <c r="S88" s="157"/>
      <c r="T88" s="12"/>
    </row>
    <row r="89" spans="1:20" ht="15" customHeight="1" x14ac:dyDescent="0.25">
      <c r="A89" s="4"/>
      <c r="B89" s="28" t="s">
        <v>32</v>
      </c>
      <c r="C89" s="28">
        <f>SUM(C86:C88)</f>
        <v>350</v>
      </c>
      <c r="D89" s="28">
        <f t="shared" ref="D89:T89" si="10">SUM(D86:D88)</f>
        <v>9.8999999999999986</v>
      </c>
      <c r="E89" s="28">
        <f t="shared" si="10"/>
        <v>10.7</v>
      </c>
      <c r="F89" s="28">
        <f t="shared" si="10"/>
        <v>38.200000000000003</v>
      </c>
      <c r="G89" s="28">
        <f t="shared" si="10"/>
        <v>328</v>
      </c>
      <c r="H89" s="28">
        <f t="shared" si="10"/>
        <v>0.06</v>
      </c>
      <c r="I89" s="28">
        <f t="shared" si="10"/>
        <v>0.31</v>
      </c>
      <c r="J89" s="28">
        <f t="shared" si="10"/>
        <v>51.4</v>
      </c>
      <c r="K89" s="28">
        <f t="shared" si="10"/>
        <v>0.16</v>
      </c>
      <c r="L89" s="28">
        <f t="shared" si="10"/>
        <v>0.32999999999999996</v>
      </c>
      <c r="M89" s="28">
        <f t="shared" si="10"/>
        <v>179.8</v>
      </c>
      <c r="N89" s="28">
        <f t="shared" si="10"/>
        <v>228.5</v>
      </c>
      <c r="O89" s="28">
        <f t="shared" si="10"/>
        <v>35.799999999999997</v>
      </c>
      <c r="P89" s="28">
        <f t="shared" si="10"/>
        <v>298.2</v>
      </c>
      <c r="Q89" s="28">
        <f t="shared" si="10"/>
        <v>1.5899999999999999</v>
      </c>
      <c r="R89" s="28">
        <f t="shared" si="10"/>
        <v>29</v>
      </c>
      <c r="S89" s="51">
        <f t="shared" si="10"/>
        <v>39</v>
      </c>
      <c r="T89" s="28">
        <f t="shared" si="10"/>
        <v>50</v>
      </c>
    </row>
    <row r="90" spans="1:20" ht="15" customHeight="1" x14ac:dyDescent="0.25">
      <c r="A90" s="4"/>
      <c r="B90" s="28" t="s">
        <v>33</v>
      </c>
      <c r="C90" s="28">
        <f>C89+C84+C74</f>
        <v>1625</v>
      </c>
      <c r="D90" s="54">
        <f t="shared" ref="D90:T90" si="11">D89+D84+D74</f>
        <v>51.728888888888882</v>
      </c>
      <c r="E90" s="28">
        <f t="shared" si="11"/>
        <v>55.05222222222222</v>
      </c>
      <c r="F90" s="28">
        <f t="shared" si="11"/>
        <v>238.52277777777778</v>
      </c>
      <c r="G90" s="28">
        <f t="shared" si="11"/>
        <v>1556.7527777777777</v>
      </c>
      <c r="H90" s="28">
        <f t="shared" si="11"/>
        <v>67.00277777777778</v>
      </c>
      <c r="I90" s="28">
        <f t="shared" si="11"/>
        <v>1.6630555555555553</v>
      </c>
      <c r="J90" s="28">
        <f t="shared" si="11"/>
        <v>181.70799999999997</v>
      </c>
      <c r="K90" s="28">
        <f t="shared" si="11"/>
        <v>33.297499999999999</v>
      </c>
      <c r="L90" s="28">
        <f t="shared" si="11"/>
        <v>12.349999999999998</v>
      </c>
      <c r="M90" s="28">
        <f t="shared" si="11"/>
        <v>1468.7133333333331</v>
      </c>
      <c r="N90" s="28">
        <f t="shared" si="11"/>
        <v>597.7455555555556</v>
      </c>
      <c r="O90" s="28">
        <f t="shared" si="11"/>
        <v>287.39388888888891</v>
      </c>
      <c r="P90" s="28">
        <f t="shared" si="11"/>
        <v>1045.0055555555557</v>
      </c>
      <c r="Q90" s="28">
        <f t="shared" si="11"/>
        <v>47.981888888888889</v>
      </c>
      <c r="R90" s="28">
        <f t="shared" si="11"/>
        <v>142.97055555555556</v>
      </c>
      <c r="S90" s="28">
        <f t="shared" si="11"/>
        <v>109.50966666666667</v>
      </c>
      <c r="T90" s="28">
        <f t="shared" si="11"/>
        <v>336.81666666666666</v>
      </c>
    </row>
    <row r="91" spans="1:20" ht="15" customHeight="1" x14ac:dyDescent="0.25">
      <c r="A91" s="293" t="s">
        <v>34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307"/>
    </row>
    <row r="92" spans="1:20" ht="15" customHeight="1" x14ac:dyDescent="0.25">
      <c r="A92" s="293" t="s">
        <v>47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307"/>
    </row>
    <row r="93" spans="1:20" ht="15" customHeight="1" x14ac:dyDescent="0.25">
      <c r="A93" s="285" t="s">
        <v>18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308"/>
    </row>
    <row r="94" spans="1:20" ht="15" customHeight="1" x14ac:dyDescent="0.25">
      <c r="A94" s="287" t="s">
        <v>19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311"/>
    </row>
    <row r="95" spans="1:20" ht="15" customHeight="1" x14ac:dyDescent="0.25">
      <c r="A95" s="8" t="s">
        <v>149</v>
      </c>
      <c r="B95" s="5" t="s">
        <v>69</v>
      </c>
      <c r="C95" s="24">
        <v>250</v>
      </c>
      <c r="D95" s="10">
        <f>6.12/250*C95</f>
        <v>6.12</v>
      </c>
      <c r="E95" s="10">
        <f>5.63/250*C95</f>
        <v>5.63</v>
      </c>
      <c r="F95" s="10">
        <f>22.98/250*C95</f>
        <v>22.98</v>
      </c>
      <c r="G95" s="10">
        <f>166.85/250*C95</f>
        <v>166.85</v>
      </c>
      <c r="H95" s="10">
        <f>0.66/250*C95</f>
        <v>0.66</v>
      </c>
      <c r="I95" s="10">
        <f>0.22/250*C95</f>
        <v>0.22</v>
      </c>
      <c r="J95" s="10">
        <f>29.75/250*C95</f>
        <v>29.75</v>
      </c>
      <c r="K95" s="10">
        <f>0.03/250*C95</f>
        <v>0.03</v>
      </c>
      <c r="L95" s="10">
        <f>0.91/250*C95</f>
        <v>0.91</v>
      </c>
      <c r="M95" s="10">
        <f>229.25/250*C95</f>
        <v>229.25</v>
      </c>
      <c r="N95" s="10">
        <f>187.5/250*C95</f>
        <v>187.5</v>
      </c>
      <c r="O95" s="10">
        <f>30/250*C95</f>
        <v>30</v>
      </c>
      <c r="P95" s="10">
        <f>164/250*C95</f>
        <v>164</v>
      </c>
      <c r="Q95" s="10">
        <f>0.35/250*C95</f>
        <v>0.35</v>
      </c>
      <c r="R95" s="10">
        <f>26/250*C95</f>
        <v>26</v>
      </c>
      <c r="S95" s="172">
        <f>5.75/250*C95</f>
        <v>5.75</v>
      </c>
      <c r="T95" s="10">
        <f>45/250*C95</f>
        <v>45</v>
      </c>
    </row>
    <row r="96" spans="1:20" ht="15" customHeight="1" x14ac:dyDescent="0.25">
      <c r="A96" s="8" t="s">
        <v>150</v>
      </c>
      <c r="B96" s="32" t="s">
        <v>36</v>
      </c>
      <c r="C96" s="9">
        <v>200</v>
      </c>
      <c r="D96" s="10">
        <f>3.8/200*C96</f>
        <v>3.8</v>
      </c>
      <c r="E96" s="10">
        <f>2.9/200*C96</f>
        <v>2.9</v>
      </c>
      <c r="F96" s="10">
        <f>11.3/200*C96</f>
        <v>11.3</v>
      </c>
      <c r="G96" s="10">
        <f>86/200*C96</f>
        <v>86</v>
      </c>
      <c r="H96" s="10">
        <f>0.03/200*C96</f>
        <v>0.03</v>
      </c>
      <c r="I96" s="10">
        <f>0.13/200*C96</f>
        <v>0.13</v>
      </c>
      <c r="J96" s="10">
        <f>13.3/200*C96</f>
        <v>13.3</v>
      </c>
      <c r="K96" s="10">
        <v>0</v>
      </c>
      <c r="L96" s="10">
        <f>0.52/200*C96</f>
        <v>0.52</v>
      </c>
      <c r="M96" s="11">
        <f>184/200*C96</f>
        <v>184</v>
      </c>
      <c r="N96" s="12">
        <f>111/200*C96</f>
        <v>111.00000000000001</v>
      </c>
      <c r="O96" s="12">
        <f>31/200*C96</f>
        <v>31</v>
      </c>
      <c r="P96" s="12">
        <f>107/200*C96</f>
        <v>107</v>
      </c>
      <c r="Q96" s="12">
        <f>1.07/200*C96</f>
        <v>1.07</v>
      </c>
      <c r="R96" s="12">
        <f>9/200*C96</f>
        <v>9</v>
      </c>
      <c r="S96" s="157">
        <f>1.76/200*C96</f>
        <v>1.76</v>
      </c>
      <c r="T96" s="12">
        <f>20/200*C96</f>
        <v>20</v>
      </c>
    </row>
    <row r="97" spans="1:20" ht="15" customHeight="1" x14ac:dyDescent="0.25">
      <c r="A97" s="14" t="s">
        <v>135</v>
      </c>
      <c r="B97" s="35" t="s">
        <v>22</v>
      </c>
      <c r="C97" s="6">
        <v>15</v>
      </c>
      <c r="D97" s="7">
        <f>3.5/15*C97</f>
        <v>3.5</v>
      </c>
      <c r="E97" s="7">
        <f>4.4/15*C97</f>
        <v>4.4000000000000004</v>
      </c>
      <c r="F97" s="7">
        <v>0</v>
      </c>
      <c r="G97" s="7">
        <f>53.7/15*C97</f>
        <v>53.7</v>
      </c>
      <c r="H97" s="7">
        <f>0.01/15*C97</f>
        <v>0.01</v>
      </c>
      <c r="I97" s="7">
        <f>0.05/15*C97</f>
        <v>0.05</v>
      </c>
      <c r="J97" s="7">
        <f>39/15*C97</f>
        <v>39</v>
      </c>
      <c r="K97" s="7">
        <f>0.15/15*C97</f>
        <v>0.15</v>
      </c>
      <c r="L97" s="7">
        <f>0.11/15*C97</f>
        <v>0.11</v>
      </c>
      <c r="M97" s="7">
        <f>13/15*C97</f>
        <v>13</v>
      </c>
      <c r="N97" s="7">
        <f>132/15*C97</f>
        <v>132</v>
      </c>
      <c r="O97" s="7">
        <f>5.3/15*C97</f>
        <v>5.3</v>
      </c>
      <c r="P97" s="7">
        <f>75/15*C97</f>
        <v>75</v>
      </c>
      <c r="Q97" s="7">
        <f>0.15/15*C97</f>
        <v>0.15</v>
      </c>
      <c r="R97" s="7">
        <v>0</v>
      </c>
      <c r="S97" s="128">
        <f>2.18/15*C97</f>
        <v>2.1800000000000002</v>
      </c>
      <c r="T97" s="7">
        <v>0</v>
      </c>
    </row>
    <row r="98" spans="1:20" ht="15" customHeight="1" x14ac:dyDescent="0.25">
      <c r="A98" s="14" t="s">
        <v>124</v>
      </c>
      <c r="B98" s="35" t="s">
        <v>23</v>
      </c>
      <c r="C98" s="6">
        <v>30</v>
      </c>
      <c r="D98" s="10">
        <f>1.5/25*C98</f>
        <v>1.7999999999999998</v>
      </c>
      <c r="E98" s="10">
        <v>2.6</v>
      </c>
      <c r="F98" s="10">
        <f>10.2/25*C98</f>
        <v>12.239999999999998</v>
      </c>
      <c r="G98" s="10">
        <f>52/25*C98</f>
        <v>62.400000000000006</v>
      </c>
      <c r="H98" s="10">
        <f>0.1/25*C98</f>
        <v>0.12</v>
      </c>
      <c r="I98" s="10">
        <f>0.08/25*C98</f>
        <v>9.6000000000000002E-2</v>
      </c>
      <c r="J98" s="10">
        <v>0</v>
      </c>
      <c r="K98" s="10">
        <v>0</v>
      </c>
      <c r="L98" s="10">
        <f>0.1/25*C98</f>
        <v>0.12</v>
      </c>
      <c r="M98" s="10">
        <f>41.5/25*C98</f>
        <v>49.8</v>
      </c>
      <c r="N98" s="10">
        <f>19.75/25*C98</f>
        <v>23.700000000000003</v>
      </c>
      <c r="O98" s="10">
        <f>10/25*C98</f>
        <v>12</v>
      </c>
      <c r="P98" s="10">
        <f>31.25/25*C98</f>
        <v>37.5</v>
      </c>
      <c r="Q98" s="10">
        <f>10/25*C98</f>
        <v>12</v>
      </c>
      <c r="R98" s="10">
        <f>0.7/25*C98</f>
        <v>0.83999999999999986</v>
      </c>
      <c r="S98" s="172">
        <f>7.73/25*C98</f>
        <v>9.2760000000000016</v>
      </c>
      <c r="T98" s="10">
        <f>12.75/25*C98</f>
        <v>15.3</v>
      </c>
    </row>
    <row r="99" spans="1:20" ht="15" customHeight="1" x14ac:dyDescent="0.25">
      <c r="A99" s="14" t="s">
        <v>124</v>
      </c>
      <c r="B99" s="32" t="s">
        <v>24</v>
      </c>
      <c r="C99" s="16">
        <v>45</v>
      </c>
      <c r="D99" s="25">
        <f>3.4/45*C99</f>
        <v>3.4</v>
      </c>
      <c r="E99" s="25">
        <f>0.4/45*C99</f>
        <v>0.4</v>
      </c>
      <c r="F99" s="25">
        <f>22.1/45*C99</f>
        <v>22.1</v>
      </c>
      <c r="G99" s="25">
        <f>105.8/45*C99</f>
        <v>105.8</v>
      </c>
      <c r="H99" s="25">
        <f>0.05/45*C99</f>
        <v>0.05</v>
      </c>
      <c r="I99" s="25">
        <f>0.01/45*C99</f>
        <v>0.01</v>
      </c>
      <c r="J99" s="25">
        <v>0</v>
      </c>
      <c r="K99" s="25">
        <v>0</v>
      </c>
      <c r="L99" s="25">
        <v>0</v>
      </c>
      <c r="M99" s="25">
        <f>46.5/45*C99</f>
        <v>46.500000000000007</v>
      </c>
      <c r="N99" s="27">
        <f>10/45*C99</f>
        <v>10</v>
      </c>
      <c r="O99" s="27">
        <f>7/45*C99</f>
        <v>7</v>
      </c>
      <c r="P99" s="27">
        <f>32.5/45*C99</f>
        <v>32.5</v>
      </c>
      <c r="Q99" s="27">
        <f>1.6/45*C99</f>
        <v>1.6</v>
      </c>
      <c r="R99" s="27">
        <f>0.55/45*C99</f>
        <v>0.55000000000000004</v>
      </c>
      <c r="S99" s="166">
        <f>3/45*C99</f>
        <v>3</v>
      </c>
      <c r="T99" s="27">
        <f>7.5/45*C99</f>
        <v>7.5</v>
      </c>
    </row>
    <row r="100" spans="1:20" ht="15" customHeight="1" x14ac:dyDescent="0.25">
      <c r="A100" s="14"/>
      <c r="B100" s="32"/>
      <c r="C100" s="1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2"/>
      <c r="O100" s="12"/>
      <c r="P100" s="12"/>
      <c r="Q100" s="12"/>
      <c r="R100" s="12"/>
      <c r="S100" s="157"/>
      <c r="T100" s="12"/>
    </row>
    <row r="101" spans="1:20" ht="15" customHeight="1" x14ac:dyDescent="0.25">
      <c r="A101" s="4"/>
      <c r="B101" s="28" t="s">
        <v>37</v>
      </c>
      <c r="C101" s="28">
        <f>SUM(C95:C99)</f>
        <v>540</v>
      </c>
      <c r="D101" s="54">
        <f t="shared" ref="D101:T101" si="12">SUM(D95:D99)</f>
        <v>18.619999999999997</v>
      </c>
      <c r="E101" s="54">
        <f t="shared" si="12"/>
        <v>15.93</v>
      </c>
      <c r="F101" s="54">
        <f t="shared" si="12"/>
        <v>68.62</v>
      </c>
      <c r="G101" s="138">
        <f t="shared" si="12"/>
        <v>474.75000000000006</v>
      </c>
      <c r="H101" s="54">
        <f t="shared" si="12"/>
        <v>0.87000000000000011</v>
      </c>
      <c r="I101" s="54">
        <f t="shared" si="12"/>
        <v>0.50600000000000001</v>
      </c>
      <c r="J101" s="54">
        <f t="shared" si="12"/>
        <v>82.05</v>
      </c>
      <c r="K101" s="54">
        <f t="shared" si="12"/>
        <v>0.18</v>
      </c>
      <c r="L101" s="54">
        <f t="shared" si="12"/>
        <v>1.6600000000000001</v>
      </c>
      <c r="M101" s="55">
        <f t="shared" si="12"/>
        <v>522.55000000000007</v>
      </c>
      <c r="N101" s="55">
        <f t="shared" si="12"/>
        <v>464.2</v>
      </c>
      <c r="O101" s="55">
        <f t="shared" si="12"/>
        <v>85.3</v>
      </c>
      <c r="P101" s="55">
        <f>SUM(P95:P99)</f>
        <v>416</v>
      </c>
      <c r="Q101" s="55">
        <f>SUM(Q95:Q99)</f>
        <v>15.17</v>
      </c>
      <c r="R101" s="54">
        <f t="shared" si="12"/>
        <v>36.39</v>
      </c>
      <c r="S101" s="159">
        <f t="shared" si="12"/>
        <v>21.966000000000001</v>
      </c>
      <c r="T101" s="54">
        <f t="shared" si="12"/>
        <v>87.8</v>
      </c>
    </row>
    <row r="102" spans="1:20" ht="15" customHeight="1" x14ac:dyDescent="0.25">
      <c r="A102" s="289" t="s">
        <v>26</v>
      </c>
      <c r="B102" s="290"/>
      <c r="C102" s="290"/>
      <c r="D102" s="290"/>
      <c r="E102" s="290"/>
      <c r="F102" s="290"/>
      <c r="G102" s="290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315"/>
    </row>
    <row r="103" spans="1:20" ht="15" customHeight="1" x14ac:dyDescent="0.25">
      <c r="A103" s="302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16"/>
    </row>
    <row r="104" spans="1:20" ht="15" customHeight="1" x14ac:dyDescent="0.25">
      <c r="A104" s="8" t="s">
        <v>151</v>
      </c>
      <c r="B104" s="97" t="s">
        <v>38</v>
      </c>
      <c r="C104" s="59">
        <v>200</v>
      </c>
      <c r="D104" s="135">
        <f>5.1/200*C104</f>
        <v>5.0999999999999996</v>
      </c>
      <c r="E104" s="135">
        <f>5.8/200*C104</f>
        <v>5.8</v>
      </c>
      <c r="F104" s="135">
        <f>10.8/200*C104</f>
        <v>10.8</v>
      </c>
      <c r="G104" s="136">
        <f>115.6/200*C104</f>
        <v>115.6</v>
      </c>
      <c r="H104" s="130">
        <f>0.03/200*C104</f>
        <v>0.03</v>
      </c>
      <c r="I104" s="130">
        <f>0.03/200*C104</f>
        <v>0.03</v>
      </c>
      <c r="J104" s="130">
        <f>103.2/200*C104</f>
        <v>103.2</v>
      </c>
      <c r="K104" s="130">
        <v>0</v>
      </c>
      <c r="L104" s="130">
        <f>6.42/200*C104</f>
        <v>6.419999999999999</v>
      </c>
      <c r="M104" s="130">
        <f>195.4/200*C104</f>
        <v>195.4</v>
      </c>
      <c r="N104" s="130">
        <f>25.6/200*C104</f>
        <v>25.6</v>
      </c>
      <c r="O104" s="130">
        <f>15.4/200*C104</f>
        <v>15.4</v>
      </c>
      <c r="P104" s="130">
        <f>40.4/200*C104</f>
        <v>40.4</v>
      </c>
      <c r="Q104" s="130">
        <f>0.49/200*C104</f>
        <v>0.49</v>
      </c>
      <c r="R104" s="130">
        <f>15.4/200*C104</f>
        <v>15.4</v>
      </c>
      <c r="S104" s="173">
        <f>1.25/200*C104</f>
        <v>1.25</v>
      </c>
      <c r="T104" s="126">
        <f>20.6/200*C104</f>
        <v>20.6</v>
      </c>
    </row>
    <row r="105" spans="1:20" ht="15" customHeight="1" x14ac:dyDescent="0.25">
      <c r="A105" s="8" t="s">
        <v>126</v>
      </c>
      <c r="B105" s="5" t="s">
        <v>152</v>
      </c>
      <c r="C105" s="24">
        <v>60</v>
      </c>
      <c r="D105" s="25">
        <f>0.5/60*C105</f>
        <v>0.5</v>
      </c>
      <c r="E105" s="25">
        <f>0.1/60*C105</f>
        <v>0.1</v>
      </c>
      <c r="F105" s="25">
        <f>1.5/60*C105</f>
        <v>1.5</v>
      </c>
      <c r="G105" s="25">
        <f>8.5/60*C105</f>
        <v>8.5</v>
      </c>
      <c r="H105" s="87">
        <f>0.02/60*C105</f>
        <v>0.02</v>
      </c>
      <c r="I105" s="87">
        <f>0.02/60*C105</f>
        <v>0.02</v>
      </c>
      <c r="J105" s="87">
        <f>6/60*C105</f>
        <v>6</v>
      </c>
      <c r="K105" s="87">
        <v>0</v>
      </c>
      <c r="L105" s="87">
        <f>6/60*C105</f>
        <v>6</v>
      </c>
      <c r="M105" s="87">
        <f>85/60*C105</f>
        <v>85</v>
      </c>
      <c r="N105" s="87">
        <f>14/60*C105</f>
        <v>14</v>
      </c>
      <c r="O105" s="87">
        <f>8.4/60*C105</f>
        <v>8.4</v>
      </c>
      <c r="P105" s="87">
        <f>25/60*C105</f>
        <v>25</v>
      </c>
      <c r="Q105" s="87">
        <f>0.36/60*C105</f>
        <v>0.36</v>
      </c>
      <c r="R105" s="87">
        <f>1.8/60*C105</f>
        <v>1.8</v>
      </c>
      <c r="S105" s="87">
        <f>0.18/60*C105</f>
        <v>0.18</v>
      </c>
      <c r="T105" s="87">
        <f>10/60*C105</f>
        <v>10</v>
      </c>
    </row>
    <row r="106" spans="1:20" ht="15" customHeight="1" x14ac:dyDescent="0.25">
      <c r="A106" s="8" t="s">
        <v>153</v>
      </c>
      <c r="B106" s="113" t="s">
        <v>40</v>
      </c>
      <c r="C106" s="104">
        <v>150</v>
      </c>
      <c r="D106" s="62">
        <v>0.9</v>
      </c>
      <c r="E106" s="62">
        <v>8.3000000000000007</v>
      </c>
      <c r="F106" s="62">
        <v>19.8</v>
      </c>
      <c r="G106" s="21">
        <f>139.4/150*C106</f>
        <v>139.4</v>
      </c>
      <c r="H106" s="61">
        <f>0.12/150*C106</f>
        <v>0.12</v>
      </c>
      <c r="I106" s="61">
        <f>0.11/150*C106</f>
        <v>0.11</v>
      </c>
      <c r="J106" s="61">
        <f>23.8/150*C106</f>
        <v>23.8</v>
      </c>
      <c r="K106" s="61">
        <f>0.0915*C106</f>
        <v>13.725</v>
      </c>
      <c r="L106" s="61">
        <f>10.2/150*C106</f>
        <v>10.199999999999999</v>
      </c>
      <c r="M106" s="61">
        <f>625/150*C106</f>
        <v>625</v>
      </c>
      <c r="N106" s="61">
        <f>39/150*C106</f>
        <v>39</v>
      </c>
      <c r="O106" s="61">
        <f>28/150*C106</f>
        <v>28</v>
      </c>
      <c r="P106" s="61">
        <f>84/150*C106</f>
        <v>84.000000000000014</v>
      </c>
      <c r="Q106" s="61">
        <f>1.03/150*C106</f>
        <v>1.03</v>
      </c>
      <c r="R106" s="61">
        <f>28/150*C106</f>
        <v>28</v>
      </c>
      <c r="S106" s="61">
        <f>0.78/150*C106</f>
        <v>0.77999999999999992</v>
      </c>
      <c r="T106" s="61">
        <f>43/150*C106</f>
        <v>43</v>
      </c>
    </row>
    <row r="107" spans="1:20" ht="15" customHeight="1" x14ac:dyDescent="0.25">
      <c r="A107" s="19" t="s">
        <v>154</v>
      </c>
      <c r="B107" s="32" t="s">
        <v>61</v>
      </c>
      <c r="C107" s="20">
        <v>100</v>
      </c>
      <c r="D107" s="21">
        <f>12.9/100*C107</f>
        <v>12.9</v>
      </c>
      <c r="E107" s="21">
        <f>4/100*C107</f>
        <v>4</v>
      </c>
      <c r="F107" s="21">
        <v>7.1</v>
      </c>
      <c r="G107" s="21">
        <f>112.2/100*C107</f>
        <v>112.20000000000002</v>
      </c>
      <c r="H107" s="21">
        <f>0.08/100*C107</f>
        <v>0.08</v>
      </c>
      <c r="I107" s="21">
        <f>0.13/100*C107</f>
        <v>0.13</v>
      </c>
      <c r="J107" s="21">
        <f>295/100*C107</f>
        <v>295</v>
      </c>
      <c r="K107" s="21">
        <f>0.46/100*C107</f>
        <v>0.45999999999999996</v>
      </c>
      <c r="L107" s="21">
        <f>0.94/100*C107</f>
        <v>0.93999999999999984</v>
      </c>
      <c r="M107" s="21">
        <f>316/100*C107</f>
        <v>316</v>
      </c>
      <c r="N107" s="21">
        <f>51/100*C107</f>
        <v>51</v>
      </c>
      <c r="O107" s="21">
        <f>44/100*C107</f>
        <v>44</v>
      </c>
      <c r="P107" s="21">
        <f>189/100*C107</f>
        <v>189</v>
      </c>
      <c r="Q107" s="21">
        <f>1.05/100*C107</f>
        <v>1.05</v>
      </c>
      <c r="R107" s="21">
        <f>122/100*C107</f>
        <v>122</v>
      </c>
      <c r="S107" s="89">
        <f>13.6/100*C107</f>
        <v>13.600000000000001</v>
      </c>
      <c r="T107" s="21">
        <f>494/100*C107</f>
        <v>494.00000000000006</v>
      </c>
    </row>
    <row r="108" spans="1:20" ht="15" customHeight="1" x14ac:dyDescent="0.25">
      <c r="A108" s="270" t="s">
        <v>131</v>
      </c>
      <c r="B108" s="5" t="s">
        <v>41</v>
      </c>
      <c r="C108" s="41">
        <v>40</v>
      </c>
      <c r="D108" s="42">
        <f>0.54/30*C108</f>
        <v>0.72000000000000008</v>
      </c>
      <c r="E108" s="42">
        <f>3.67/30*C108</f>
        <v>4.8933333333333335</v>
      </c>
      <c r="F108" s="42">
        <f>5.24/30*C108</f>
        <v>6.9866666666666664</v>
      </c>
      <c r="G108" s="25">
        <f>56.16/30*C108</f>
        <v>74.88</v>
      </c>
      <c r="H108" s="25">
        <f>0.01/30*C108</f>
        <v>1.3333333333333332E-2</v>
      </c>
      <c r="I108" s="25">
        <v>0</v>
      </c>
      <c r="J108" s="25">
        <v>0</v>
      </c>
      <c r="K108" s="25">
        <f>0.23/30*C108</f>
        <v>0.3066666666666667</v>
      </c>
      <c r="L108" s="25">
        <f>1.68/30*C108</f>
        <v>2.2400000000000002</v>
      </c>
      <c r="M108" s="25">
        <f>2/30*C108</f>
        <v>2.6666666666666665</v>
      </c>
      <c r="N108" s="25">
        <f>5/30*C108</f>
        <v>6.6666666666666661</v>
      </c>
      <c r="O108" s="25">
        <v>0</v>
      </c>
      <c r="P108" s="25">
        <f>23.6/30*C108</f>
        <v>31.466666666666669</v>
      </c>
      <c r="Q108" s="25">
        <v>0</v>
      </c>
      <c r="R108" s="25">
        <f>0.01/30*C108</f>
        <v>1.3333333333333332E-2</v>
      </c>
      <c r="S108" s="25">
        <v>0</v>
      </c>
      <c r="T108" s="25">
        <f>0.04/30*C108</f>
        <v>5.333333333333333E-2</v>
      </c>
    </row>
    <row r="109" spans="1:20" ht="15" customHeight="1" x14ac:dyDescent="0.25">
      <c r="A109" s="4">
        <v>256</v>
      </c>
      <c r="B109" s="36" t="s">
        <v>83</v>
      </c>
      <c r="C109" s="90">
        <v>200</v>
      </c>
      <c r="D109" s="61">
        <f>0.6/200*C109</f>
        <v>0.6</v>
      </c>
      <c r="E109" s="61">
        <f>0.28/200*C109</f>
        <v>0.28000000000000003</v>
      </c>
      <c r="F109" s="61">
        <f>15.2/200*C109</f>
        <v>15.2</v>
      </c>
      <c r="G109" s="133">
        <f>65.3/200*C109</f>
        <v>65.3</v>
      </c>
      <c r="H109" s="126">
        <f>0.01/200*C109</f>
        <v>0.01</v>
      </c>
      <c r="I109" s="126">
        <f>0.05/200*C109</f>
        <v>0.05</v>
      </c>
      <c r="J109" s="126">
        <f>98/200*C109</f>
        <v>98</v>
      </c>
      <c r="K109" s="126">
        <v>0</v>
      </c>
      <c r="L109" s="126">
        <f>80/200*C109</f>
        <v>80</v>
      </c>
      <c r="M109" s="126">
        <f>8.47/200*C109</f>
        <v>8.4700000000000006</v>
      </c>
      <c r="N109" s="126">
        <f>11/200*C109</f>
        <v>11</v>
      </c>
      <c r="O109" s="126">
        <f>3/200*C109</f>
        <v>3</v>
      </c>
      <c r="P109" s="126">
        <f>3/200*C109</f>
        <v>3</v>
      </c>
      <c r="Q109" s="126">
        <f>0.54/200*C109</f>
        <v>0.54</v>
      </c>
      <c r="R109" s="126">
        <v>0</v>
      </c>
      <c r="S109" s="233">
        <v>0</v>
      </c>
      <c r="T109" s="126">
        <v>0</v>
      </c>
    </row>
    <row r="110" spans="1:20" ht="15" customHeight="1" x14ac:dyDescent="0.25">
      <c r="A110" s="269" t="s">
        <v>124</v>
      </c>
      <c r="B110" s="35" t="s">
        <v>23</v>
      </c>
      <c r="C110" s="6">
        <v>60</v>
      </c>
      <c r="D110" s="10">
        <f>1.5/25*C110</f>
        <v>3.5999999999999996</v>
      </c>
      <c r="E110" s="10">
        <f>0.5/25*C110</f>
        <v>1.2</v>
      </c>
      <c r="F110" s="10">
        <f>10.2/25*C110</f>
        <v>24.479999999999997</v>
      </c>
      <c r="G110" s="10">
        <f>52/25*C110</f>
        <v>124.80000000000001</v>
      </c>
      <c r="H110" s="10">
        <f>0.1/25*C110</f>
        <v>0.24</v>
      </c>
      <c r="I110" s="10">
        <f>0.08/25*C110</f>
        <v>0.192</v>
      </c>
      <c r="J110" s="10">
        <v>0</v>
      </c>
      <c r="K110" s="10">
        <v>0</v>
      </c>
      <c r="L110" s="10">
        <f>0.1/25*C110</f>
        <v>0.24</v>
      </c>
      <c r="M110" s="10">
        <f>41.5/25*C110</f>
        <v>99.6</v>
      </c>
      <c r="N110" s="10">
        <f>19.75/25*C110</f>
        <v>47.400000000000006</v>
      </c>
      <c r="O110" s="10">
        <f>10/25*C110</f>
        <v>24</v>
      </c>
      <c r="P110" s="10">
        <f>31.25/25*C110</f>
        <v>75</v>
      </c>
      <c r="Q110" s="10">
        <f>10/25*C110</f>
        <v>24</v>
      </c>
      <c r="R110" s="10">
        <f>0.7/25*C110</f>
        <v>1.6799999999999997</v>
      </c>
      <c r="S110" s="172">
        <f>7.73/25*C110</f>
        <v>18.552000000000003</v>
      </c>
      <c r="T110" s="10">
        <f>12.75/25*C110</f>
        <v>30.6</v>
      </c>
    </row>
    <row r="111" spans="1:20" ht="15" customHeight="1" x14ac:dyDescent="0.25">
      <c r="A111" s="269" t="s">
        <v>124</v>
      </c>
      <c r="B111" s="32" t="s">
        <v>24</v>
      </c>
      <c r="C111" s="16">
        <v>30</v>
      </c>
      <c r="D111" s="25">
        <f>3.4/45*C111</f>
        <v>2.2666666666666666</v>
      </c>
      <c r="E111" s="25">
        <f>0.4/45*C111</f>
        <v>0.26666666666666666</v>
      </c>
      <c r="F111" s="25">
        <f>22.1/45*C111</f>
        <v>14.733333333333334</v>
      </c>
      <c r="G111" s="25">
        <f>105.8/45*C111</f>
        <v>70.533333333333331</v>
      </c>
      <c r="H111" s="25">
        <f>0.05/45*C111</f>
        <v>3.3333333333333333E-2</v>
      </c>
      <c r="I111" s="25">
        <f>0.01/45*C111</f>
        <v>6.6666666666666671E-3</v>
      </c>
      <c r="J111" s="25">
        <v>0</v>
      </c>
      <c r="K111" s="25">
        <v>0</v>
      </c>
      <c r="L111" s="25">
        <v>0</v>
      </c>
      <c r="M111" s="25">
        <f>46.5/45*C111</f>
        <v>31.000000000000004</v>
      </c>
      <c r="N111" s="27">
        <f>10/45*C111</f>
        <v>6.6666666666666661</v>
      </c>
      <c r="O111" s="27">
        <f>7/45*C111</f>
        <v>4.666666666666667</v>
      </c>
      <c r="P111" s="27">
        <f>32.5/45*C111</f>
        <v>21.666666666666668</v>
      </c>
      <c r="Q111" s="27">
        <f>1.6/45*C111</f>
        <v>1.0666666666666667</v>
      </c>
      <c r="R111" s="27">
        <f>0.55/45*C111</f>
        <v>0.3666666666666667</v>
      </c>
      <c r="S111" s="166">
        <f>3/45*C111</f>
        <v>2</v>
      </c>
      <c r="T111" s="27">
        <f>7.5/45*C111</f>
        <v>5</v>
      </c>
    </row>
    <row r="112" spans="1:20" ht="15" customHeight="1" x14ac:dyDescent="0.25">
      <c r="A112" s="4"/>
      <c r="B112" s="4"/>
      <c r="C112" s="53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7"/>
      <c r="O112" s="7"/>
      <c r="P112" s="7"/>
      <c r="Q112" s="7"/>
      <c r="R112" s="7"/>
      <c r="S112" s="128"/>
      <c r="T112" s="7"/>
    </row>
    <row r="113" spans="1:20" ht="15" customHeight="1" x14ac:dyDescent="0.25">
      <c r="A113" s="4"/>
      <c r="B113" s="28" t="s">
        <v>29</v>
      </c>
      <c r="C113" s="28">
        <f>SUM(C104:C112)</f>
        <v>840</v>
      </c>
      <c r="D113" s="54">
        <f t="shared" ref="D113:T113" si="13">SUM(D104:D112)</f>
        <v>26.586666666666666</v>
      </c>
      <c r="E113" s="54">
        <f t="shared" si="13"/>
        <v>24.84</v>
      </c>
      <c r="F113" s="55">
        <f t="shared" si="13"/>
        <v>100.60000000000001</v>
      </c>
      <c r="G113" s="55">
        <f t="shared" si="13"/>
        <v>711.21333333333337</v>
      </c>
      <c r="H113" s="54">
        <f t="shared" si="13"/>
        <v>0.54666666666666663</v>
      </c>
      <c r="I113" s="54">
        <f t="shared" si="13"/>
        <v>0.53866666666666674</v>
      </c>
      <c r="J113" s="138">
        <f t="shared" si="13"/>
        <v>526</v>
      </c>
      <c r="K113" s="138">
        <f t="shared" si="13"/>
        <v>14.491666666666665</v>
      </c>
      <c r="L113" s="138">
        <f t="shared" si="13"/>
        <v>106.03999999999999</v>
      </c>
      <c r="M113" s="138">
        <f t="shared" si="13"/>
        <v>1363.1366666666668</v>
      </c>
      <c r="N113" s="138">
        <f t="shared" si="13"/>
        <v>201.33333333333331</v>
      </c>
      <c r="O113" s="138">
        <f t="shared" si="13"/>
        <v>127.46666666666667</v>
      </c>
      <c r="P113" s="138">
        <f t="shared" si="13"/>
        <v>469.53333333333336</v>
      </c>
      <c r="Q113" s="138">
        <f t="shared" si="13"/>
        <v>28.536666666666665</v>
      </c>
      <c r="R113" s="55">
        <f t="shared" si="13"/>
        <v>169.26</v>
      </c>
      <c r="S113" s="174">
        <f t="shared" si="13"/>
        <v>36.362000000000009</v>
      </c>
      <c r="T113" s="55">
        <f t="shared" si="13"/>
        <v>603.25333333333333</v>
      </c>
    </row>
    <row r="114" spans="1:20" ht="15" customHeight="1" x14ac:dyDescent="0.25">
      <c r="A114" s="4"/>
      <c r="B114" s="289" t="s">
        <v>30</v>
      </c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</row>
    <row r="115" spans="1:20" ht="15" customHeight="1" x14ac:dyDescent="0.25">
      <c r="A115" s="8" t="s">
        <v>140</v>
      </c>
      <c r="B115" s="32" t="s">
        <v>20</v>
      </c>
      <c r="C115" s="9">
        <v>200</v>
      </c>
      <c r="D115" s="10">
        <f>0.2/200*C115</f>
        <v>0.2</v>
      </c>
      <c r="E115" s="10">
        <v>0</v>
      </c>
      <c r="F115" s="10">
        <v>26.5</v>
      </c>
      <c r="G115" s="10">
        <f>26.8/200*C115</f>
        <v>26.8</v>
      </c>
      <c r="H115" s="10">
        <v>0</v>
      </c>
      <c r="I115" s="10">
        <f>0.01/200*C115</f>
        <v>0.01</v>
      </c>
      <c r="J115" s="10">
        <f>0.3/200*C115</f>
        <v>0.3</v>
      </c>
      <c r="K115" s="10">
        <v>0</v>
      </c>
      <c r="L115" s="10">
        <f>0.04/200*C115</f>
        <v>0.04</v>
      </c>
      <c r="M115" s="11">
        <f>20.8/200*C115</f>
        <v>20.8</v>
      </c>
      <c r="N115" s="12">
        <f>4.5/200*C115</f>
        <v>4.5</v>
      </c>
      <c r="O115" s="12">
        <f>3.8/200*C115</f>
        <v>3.8</v>
      </c>
      <c r="P115" s="12">
        <f>7.2/200*C115</f>
        <v>7.2000000000000011</v>
      </c>
      <c r="Q115" s="12">
        <f>0.73/200*C115</f>
        <v>0.73</v>
      </c>
      <c r="R115" s="12">
        <v>0</v>
      </c>
      <c r="S115" s="157">
        <v>0</v>
      </c>
      <c r="T115" s="12">
        <v>0</v>
      </c>
    </row>
    <row r="116" spans="1:20" ht="15" customHeight="1" x14ac:dyDescent="0.25">
      <c r="A116" s="4" t="s">
        <v>155</v>
      </c>
      <c r="B116" s="32" t="s">
        <v>50</v>
      </c>
      <c r="C116" s="28">
        <v>150</v>
      </c>
      <c r="D116" s="56">
        <v>7.7</v>
      </c>
      <c r="E116" s="56">
        <f>18/150*C116</f>
        <v>18</v>
      </c>
      <c r="F116" s="56">
        <v>13.2</v>
      </c>
      <c r="G116" s="139">
        <f>225.5/150*C116</f>
        <v>225.5</v>
      </c>
      <c r="H116" s="61">
        <f>0.06/150*C116</f>
        <v>0.06</v>
      </c>
      <c r="I116" s="94">
        <f>0.4/150*C116</f>
        <v>0.40000000000000008</v>
      </c>
      <c r="J116" s="61">
        <f>183/150*C116</f>
        <v>183</v>
      </c>
      <c r="K116" s="61">
        <f>2.18/150*C116</f>
        <v>2.1800000000000002</v>
      </c>
      <c r="L116" s="61">
        <f>0.3/150*C116</f>
        <v>0.3</v>
      </c>
      <c r="M116" s="61">
        <f>180/150*C116</f>
        <v>180</v>
      </c>
      <c r="N116" s="93">
        <f>110/150*C116</f>
        <v>109.99999999999999</v>
      </c>
      <c r="O116" s="61">
        <f>17/150*C116</f>
        <v>17</v>
      </c>
      <c r="P116" s="61">
        <f>203/150*C116</f>
        <v>203</v>
      </c>
      <c r="Q116" s="93">
        <f>2.1/150*C116</f>
        <v>2.1</v>
      </c>
      <c r="R116" s="94">
        <f>42/150*C116</f>
        <v>42.000000000000007</v>
      </c>
      <c r="S116" s="133">
        <f>26.1/150*C116</f>
        <v>26.1</v>
      </c>
      <c r="T116" s="61">
        <f>63/150*C116</f>
        <v>63</v>
      </c>
    </row>
    <row r="117" spans="1:20" ht="15" customHeight="1" x14ac:dyDescent="0.25">
      <c r="A117" s="4"/>
      <c r="B117" s="32"/>
      <c r="C117" s="28"/>
      <c r="D117" s="56"/>
      <c r="E117" s="56"/>
      <c r="F117" s="56"/>
      <c r="G117" s="56"/>
      <c r="H117" s="116"/>
      <c r="I117" s="116"/>
      <c r="J117" s="116"/>
      <c r="K117" s="116"/>
      <c r="L117" s="116"/>
      <c r="M117" s="117"/>
      <c r="N117" s="117"/>
      <c r="O117" s="117"/>
      <c r="P117" s="117"/>
      <c r="Q117" s="117"/>
      <c r="R117" s="117"/>
      <c r="S117" s="164"/>
      <c r="T117" s="7"/>
    </row>
    <row r="118" spans="1:20" ht="15" customHeight="1" x14ac:dyDescent="0.25">
      <c r="A118" s="4"/>
      <c r="B118" s="28" t="s">
        <v>32</v>
      </c>
      <c r="C118" s="28">
        <f>SUM(C115:C117)</f>
        <v>350</v>
      </c>
      <c r="D118" s="54">
        <f t="shared" ref="D118:T118" si="14">SUM(D115:D116)</f>
        <v>7.9</v>
      </c>
      <c r="E118" s="54">
        <f t="shared" si="14"/>
        <v>18</v>
      </c>
      <c r="F118" s="54">
        <f t="shared" si="14"/>
        <v>39.700000000000003</v>
      </c>
      <c r="G118" s="55">
        <f t="shared" si="14"/>
        <v>252.3</v>
      </c>
      <c r="H118" s="55">
        <f t="shared" si="14"/>
        <v>0.06</v>
      </c>
      <c r="I118" s="55">
        <f t="shared" si="14"/>
        <v>0.41000000000000009</v>
      </c>
      <c r="J118" s="55">
        <f t="shared" si="14"/>
        <v>183.3</v>
      </c>
      <c r="K118" s="55">
        <f t="shared" si="14"/>
        <v>2.1800000000000002</v>
      </c>
      <c r="L118" s="55">
        <f t="shared" si="14"/>
        <v>0.33999999999999997</v>
      </c>
      <c r="M118" s="66">
        <f t="shared" si="14"/>
        <v>200.8</v>
      </c>
      <c r="N118" s="66">
        <f t="shared" si="14"/>
        <v>114.49999999999999</v>
      </c>
      <c r="O118" s="66">
        <f t="shared" si="14"/>
        <v>20.8</v>
      </c>
      <c r="P118" s="66">
        <f t="shared" si="14"/>
        <v>210.2</v>
      </c>
      <c r="Q118" s="66">
        <f t="shared" si="14"/>
        <v>2.83</v>
      </c>
      <c r="R118" s="66">
        <f t="shared" si="14"/>
        <v>42.000000000000007</v>
      </c>
      <c r="S118" s="176">
        <f t="shared" si="14"/>
        <v>26.1</v>
      </c>
      <c r="T118" s="66">
        <f t="shared" si="14"/>
        <v>63</v>
      </c>
    </row>
    <row r="119" spans="1:20" ht="15" customHeight="1" x14ac:dyDescent="0.25">
      <c r="A119" s="4"/>
      <c r="B119" s="28" t="s">
        <v>33</v>
      </c>
      <c r="C119" s="28">
        <f>C118+C113+C101</f>
        <v>1730</v>
      </c>
      <c r="D119" s="54">
        <f t="shared" ref="D119:T119" si="15">D118+D113+D101</f>
        <v>53.106666666666662</v>
      </c>
      <c r="E119" s="28">
        <f t="shared" si="15"/>
        <v>58.77</v>
      </c>
      <c r="F119" s="28">
        <f t="shared" si="15"/>
        <v>208.92000000000002</v>
      </c>
      <c r="G119" s="138">
        <f t="shared" si="15"/>
        <v>1438.2633333333333</v>
      </c>
      <c r="H119" s="55">
        <f t="shared" si="15"/>
        <v>1.4766666666666668</v>
      </c>
      <c r="I119" s="55">
        <f t="shared" si="15"/>
        <v>1.4546666666666668</v>
      </c>
      <c r="J119" s="55">
        <f t="shared" si="15"/>
        <v>791.34999999999991</v>
      </c>
      <c r="K119" s="55">
        <f t="shared" si="15"/>
        <v>16.851666666666667</v>
      </c>
      <c r="L119" s="55">
        <f t="shared" si="15"/>
        <v>108.03999999999999</v>
      </c>
      <c r="M119" s="138">
        <f t="shared" si="15"/>
        <v>2086.4866666666667</v>
      </c>
      <c r="N119" s="55">
        <f t="shared" si="15"/>
        <v>780.0333333333333</v>
      </c>
      <c r="O119" s="55">
        <f t="shared" si="15"/>
        <v>233.56666666666666</v>
      </c>
      <c r="P119" s="138">
        <f>P118+P113+P101</f>
        <v>1095.7333333333333</v>
      </c>
      <c r="Q119" s="138">
        <f>Q118+Q113+Q101</f>
        <v>46.536666666666669</v>
      </c>
      <c r="R119" s="55">
        <f t="shared" si="15"/>
        <v>247.64999999999998</v>
      </c>
      <c r="S119" s="174">
        <f t="shared" si="15"/>
        <v>84.428000000000011</v>
      </c>
      <c r="T119" s="55">
        <f t="shared" si="15"/>
        <v>754.05333333333328</v>
      </c>
    </row>
    <row r="120" spans="1:20" ht="15" customHeight="1" x14ac:dyDescent="0.25">
      <c r="A120" s="293" t="s">
        <v>34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307"/>
    </row>
    <row r="121" spans="1:20" ht="15" customHeight="1" x14ac:dyDescent="0.25">
      <c r="A121" s="293" t="s">
        <v>51</v>
      </c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307"/>
    </row>
    <row r="122" spans="1:20" ht="15" customHeight="1" x14ac:dyDescent="0.25">
      <c r="A122" s="285" t="s">
        <v>18</v>
      </c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308"/>
    </row>
    <row r="123" spans="1:20" ht="15" customHeight="1" x14ac:dyDescent="0.25">
      <c r="A123" s="287" t="s">
        <v>19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311"/>
    </row>
    <row r="124" spans="1:20" ht="15" customHeight="1" x14ac:dyDescent="0.25">
      <c r="A124" s="49" t="s">
        <v>142</v>
      </c>
      <c r="B124" s="32" t="s">
        <v>73</v>
      </c>
      <c r="C124" s="24">
        <v>200</v>
      </c>
      <c r="D124" s="10">
        <v>2.1</v>
      </c>
      <c r="E124" s="10">
        <v>8.8000000000000007</v>
      </c>
      <c r="F124" s="10">
        <f>26.6/200*C124</f>
        <v>26.6</v>
      </c>
      <c r="G124" s="10">
        <f>187.3/200*C124</f>
        <v>187.3</v>
      </c>
      <c r="H124" s="118">
        <f>0.15/200*C124</f>
        <v>0.15</v>
      </c>
      <c r="I124" s="118">
        <f>0.18/200*C124</f>
        <v>0.18</v>
      </c>
      <c r="J124" s="118">
        <f>23.9/200*C124</f>
        <v>23.9</v>
      </c>
      <c r="K124" s="118">
        <f>0.05/200*C124</f>
        <v>0.05</v>
      </c>
      <c r="L124" s="118">
        <f>0.5/200*C124</f>
        <v>0.5</v>
      </c>
      <c r="M124" s="118">
        <f>237/200*C124</f>
        <v>237</v>
      </c>
      <c r="N124" s="118">
        <f>112/200*C124</f>
        <v>112.00000000000001</v>
      </c>
      <c r="O124" s="118">
        <f>78/200*C124</f>
        <v>78</v>
      </c>
      <c r="P124" s="118">
        <f>175/200*C124</f>
        <v>175</v>
      </c>
      <c r="Q124" s="118">
        <f>2.35/200*C124</f>
        <v>2.35</v>
      </c>
      <c r="R124" s="118">
        <f>50/200*C124</f>
        <v>50</v>
      </c>
      <c r="S124" s="192">
        <f>3.64/200*C124</f>
        <v>3.64</v>
      </c>
      <c r="T124" s="118">
        <f>28/200*C124</f>
        <v>28.000000000000004</v>
      </c>
    </row>
    <row r="125" spans="1:20" ht="15" customHeight="1" x14ac:dyDescent="0.25">
      <c r="A125" s="8" t="s">
        <v>156</v>
      </c>
      <c r="B125" s="32" t="s">
        <v>122</v>
      </c>
      <c r="C125" s="9">
        <v>200</v>
      </c>
      <c r="D125" s="10">
        <f>1.6/200*C125</f>
        <v>1.6</v>
      </c>
      <c r="E125" s="10">
        <f>1.1/200*C125</f>
        <v>1.1000000000000001</v>
      </c>
      <c r="F125" s="10">
        <f>8.7/200*C125</f>
        <v>8.6999999999999993</v>
      </c>
      <c r="G125" s="10">
        <f>50.9/200*C125</f>
        <v>50.9</v>
      </c>
      <c r="H125" s="10">
        <f>0.01/200*C125</f>
        <v>0.01</v>
      </c>
      <c r="I125" s="10">
        <f>0.07/200*C125</f>
        <v>7.0000000000000007E-2</v>
      </c>
      <c r="J125" s="10">
        <f>6.9/200*C125</f>
        <v>6.9</v>
      </c>
      <c r="K125" s="10">
        <v>0</v>
      </c>
      <c r="L125" s="10">
        <f>0.3/200*C125</f>
        <v>0.3</v>
      </c>
      <c r="M125" s="21">
        <f>81.3/200*C125</f>
        <v>81.3</v>
      </c>
      <c r="N125" s="10">
        <f>57/200*C125</f>
        <v>56.999999999999993</v>
      </c>
      <c r="O125" s="10">
        <f>9.9/200*C125</f>
        <v>9.9</v>
      </c>
      <c r="P125" s="10">
        <f>46/200*C125</f>
        <v>46</v>
      </c>
      <c r="Q125" s="10">
        <f>0.77/200*C125</f>
        <v>0.77</v>
      </c>
      <c r="R125" s="10">
        <f>4.5/200*C125</f>
        <v>4.5</v>
      </c>
      <c r="S125" s="172">
        <f>0.88/200*C125</f>
        <v>0.88</v>
      </c>
      <c r="T125" s="10">
        <f>10/200*C125</f>
        <v>10</v>
      </c>
    </row>
    <row r="126" spans="1:20" ht="15" customHeight="1" x14ac:dyDescent="0.25">
      <c r="A126" s="4" t="s">
        <v>191</v>
      </c>
      <c r="B126" s="35" t="s">
        <v>21</v>
      </c>
      <c r="C126" s="6">
        <v>10</v>
      </c>
      <c r="D126" s="61">
        <f>10/10*C126</f>
        <v>10</v>
      </c>
      <c r="E126" s="61">
        <f>0.1/10*C126</f>
        <v>0.1</v>
      </c>
      <c r="F126" s="61">
        <f>7.2/10*C126</f>
        <v>7.1999999999999993</v>
      </c>
      <c r="G126" s="61">
        <v>5</v>
      </c>
      <c r="H126" s="61">
        <f>66.1/10*C126</f>
        <v>66.099999999999994</v>
      </c>
      <c r="I126" s="140">
        <f>0.01/10*C126</f>
        <v>0.01</v>
      </c>
      <c r="J126" s="61">
        <f>45/10*C126</f>
        <v>45</v>
      </c>
      <c r="K126" s="61">
        <f>0.13/10*C126</f>
        <v>0.13</v>
      </c>
      <c r="L126" s="61">
        <v>0</v>
      </c>
      <c r="M126" s="61">
        <f>3/10*C126</f>
        <v>3</v>
      </c>
      <c r="N126" s="61">
        <f>2.4/10*C126</f>
        <v>2.4</v>
      </c>
      <c r="O126" s="61">
        <v>0</v>
      </c>
      <c r="P126" s="61">
        <f>3/10*C126</f>
        <v>3</v>
      </c>
      <c r="Q126" s="61">
        <f>0.02/10*C126</f>
        <v>0.02</v>
      </c>
      <c r="R126" s="61">
        <v>0</v>
      </c>
      <c r="S126" s="133">
        <f>0.1/10*C126</f>
        <v>0.1</v>
      </c>
      <c r="T126" s="61">
        <f>0.3/10*C126</f>
        <v>0.3</v>
      </c>
    </row>
    <row r="127" spans="1:20" ht="15" customHeight="1" x14ac:dyDescent="0.25">
      <c r="A127" s="14" t="s">
        <v>124</v>
      </c>
      <c r="B127" s="35" t="s">
        <v>23</v>
      </c>
      <c r="C127" s="6">
        <v>25</v>
      </c>
      <c r="D127" s="10">
        <f>1.5/25*C127</f>
        <v>1.5</v>
      </c>
      <c r="E127" s="10">
        <f>0.5/25*C127</f>
        <v>0.5</v>
      </c>
      <c r="F127" s="10">
        <f>10.2/25*C127</f>
        <v>10.199999999999999</v>
      </c>
      <c r="G127" s="10">
        <v>55</v>
      </c>
      <c r="H127" s="10">
        <f>0.1/25*C127</f>
        <v>0.1</v>
      </c>
      <c r="I127" s="10">
        <f>0.08/25*C127</f>
        <v>0.08</v>
      </c>
      <c r="J127" s="10">
        <v>0</v>
      </c>
      <c r="K127" s="10">
        <v>0</v>
      </c>
      <c r="L127" s="10">
        <f>0.1/25*C127</f>
        <v>0.1</v>
      </c>
      <c r="M127" s="10">
        <f>41.5/25*C127</f>
        <v>41.5</v>
      </c>
      <c r="N127" s="10">
        <f>19.75/25*C127</f>
        <v>19.75</v>
      </c>
      <c r="O127" s="10">
        <f>10/25*C127</f>
        <v>10</v>
      </c>
      <c r="P127" s="10">
        <f>31.25/25*C127</f>
        <v>31.25</v>
      </c>
      <c r="Q127" s="10">
        <f>10/25*C127</f>
        <v>10</v>
      </c>
      <c r="R127" s="10">
        <f>0.7/25*C127</f>
        <v>0.7</v>
      </c>
      <c r="S127" s="172">
        <f>7.73/25*C127</f>
        <v>7.73</v>
      </c>
      <c r="T127" s="10">
        <f>12.75/25*C127</f>
        <v>12.75</v>
      </c>
    </row>
    <row r="128" spans="1:20" ht="15" customHeight="1" x14ac:dyDescent="0.25">
      <c r="A128" s="14" t="s">
        <v>124</v>
      </c>
      <c r="B128" s="32" t="s">
        <v>24</v>
      </c>
      <c r="C128" s="16">
        <v>45</v>
      </c>
      <c r="D128" s="25">
        <f>3.4/45*C128</f>
        <v>3.4</v>
      </c>
      <c r="E128" s="25">
        <f>0.4/45*C128</f>
        <v>0.4</v>
      </c>
      <c r="F128" s="25">
        <f>22.1/45*C128</f>
        <v>22.1</v>
      </c>
      <c r="G128" s="25">
        <f>105.8/45*C128</f>
        <v>105.8</v>
      </c>
      <c r="H128" s="25">
        <f>0.05/45*C128</f>
        <v>0.05</v>
      </c>
      <c r="I128" s="25">
        <f>0.01/45*C128</f>
        <v>0.01</v>
      </c>
      <c r="J128" s="25">
        <v>0</v>
      </c>
      <c r="K128" s="25">
        <v>0</v>
      </c>
      <c r="L128" s="25">
        <v>0</v>
      </c>
      <c r="M128" s="25">
        <f>46.5/45*C128</f>
        <v>46.500000000000007</v>
      </c>
      <c r="N128" s="27">
        <f>10/45*C128</f>
        <v>10</v>
      </c>
      <c r="O128" s="27">
        <f>7/45*C128</f>
        <v>7</v>
      </c>
      <c r="P128" s="27">
        <f>32.5/45*C128</f>
        <v>32.5</v>
      </c>
      <c r="Q128" s="27">
        <f>1.6/45*C128</f>
        <v>1.6</v>
      </c>
      <c r="R128" s="27">
        <f>0.55/45*C128</f>
        <v>0.55000000000000004</v>
      </c>
      <c r="S128" s="166">
        <f>3/45*C128</f>
        <v>3</v>
      </c>
      <c r="T128" s="27">
        <f>7.5/45*C128</f>
        <v>7.5</v>
      </c>
    </row>
    <row r="129" spans="1:20" ht="15" customHeight="1" x14ac:dyDescent="0.25">
      <c r="A129" s="14" t="s">
        <v>124</v>
      </c>
      <c r="B129" s="32" t="s">
        <v>107</v>
      </c>
      <c r="C129" s="16">
        <v>100</v>
      </c>
      <c r="D129" s="25">
        <v>0.1</v>
      </c>
      <c r="E129" s="25">
        <v>5</v>
      </c>
      <c r="F129" s="25">
        <f>0.8/100*C129</f>
        <v>0.8</v>
      </c>
      <c r="G129" s="25">
        <v>67</v>
      </c>
      <c r="H129" s="25">
        <f>0.03/100*C129</f>
        <v>0.03</v>
      </c>
      <c r="I129" s="25">
        <f>0.02/100*C129</f>
        <v>0.02</v>
      </c>
      <c r="J129" s="25">
        <f>5/100*C129</f>
        <v>5</v>
      </c>
      <c r="K129" s="25">
        <v>0</v>
      </c>
      <c r="L129" s="25">
        <f>10/100*C129</f>
        <v>10</v>
      </c>
      <c r="M129" s="25">
        <f>278/100*C129</f>
        <v>278</v>
      </c>
      <c r="N129" s="27">
        <f>16/100*C129</f>
        <v>16</v>
      </c>
      <c r="O129" s="27">
        <f>9/100*C129</f>
        <v>9</v>
      </c>
      <c r="P129" s="27">
        <f>11/100*C129</f>
        <v>11</v>
      </c>
      <c r="Q129" s="27">
        <f>2/100*C129</f>
        <v>2</v>
      </c>
      <c r="R129" s="27">
        <f>22.2/100*C129</f>
        <v>22.2</v>
      </c>
      <c r="S129" s="166">
        <f>0.3/100*C129</f>
        <v>0.3</v>
      </c>
      <c r="T129" s="27">
        <f>1/100*C129</f>
        <v>1</v>
      </c>
    </row>
    <row r="130" spans="1:20" ht="15" customHeight="1" x14ac:dyDescent="0.25">
      <c r="A130" s="15"/>
      <c r="B130" s="32"/>
      <c r="C130" s="1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2"/>
      <c r="O130" s="12"/>
      <c r="P130" s="12"/>
      <c r="Q130" s="12"/>
      <c r="R130" s="12"/>
      <c r="S130" s="157"/>
      <c r="T130" s="12"/>
    </row>
    <row r="131" spans="1:20" ht="15" customHeight="1" x14ac:dyDescent="0.25">
      <c r="A131" s="4"/>
      <c r="B131" s="28" t="s">
        <v>37</v>
      </c>
      <c r="C131" s="28">
        <f>SUM(C124:C130)</f>
        <v>580</v>
      </c>
      <c r="D131" s="28">
        <f t="shared" ref="D131:T131" si="16">SUM(D124:D130)</f>
        <v>18.7</v>
      </c>
      <c r="E131" s="28">
        <f t="shared" si="16"/>
        <v>15.9</v>
      </c>
      <c r="F131" s="28">
        <f t="shared" si="16"/>
        <v>75.600000000000009</v>
      </c>
      <c r="G131" s="28">
        <f t="shared" si="16"/>
        <v>471.00000000000006</v>
      </c>
      <c r="H131" s="28">
        <f t="shared" si="16"/>
        <v>66.439999999999984</v>
      </c>
      <c r="I131" s="28">
        <f t="shared" si="16"/>
        <v>0.37000000000000005</v>
      </c>
      <c r="J131" s="28">
        <f t="shared" si="16"/>
        <v>80.8</v>
      </c>
      <c r="K131" s="28">
        <f t="shared" si="16"/>
        <v>0.18</v>
      </c>
      <c r="L131" s="28">
        <f t="shared" si="16"/>
        <v>10.9</v>
      </c>
      <c r="M131" s="28">
        <f t="shared" si="16"/>
        <v>687.3</v>
      </c>
      <c r="N131" s="28">
        <f t="shared" si="16"/>
        <v>217.15</v>
      </c>
      <c r="O131" s="28">
        <f t="shared" si="16"/>
        <v>113.9</v>
      </c>
      <c r="P131" s="28">
        <f t="shared" si="16"/>
        <v>298.75</v>
      </c>
      <c r="Q131" s="28">
        <f t="shared" si="16"/>
        <v>16.740000000000002</v>
      </c>
      <c r="R131" s="28">
        <f t="shared" si="16"/>
        <v>77.95</v>
      </c>
      <c r="S131" s="28">
        <f t="shared" si="16"/>
        <v>15.650000000000002</v>
      </c>
      <c r="T131" s="28">
        <f t="shared" si="16"/>
        <v>59.55</v>
      </c>
    </row>
    <row r="132" spans="1:20" ht="15" customHeight="1" x14ac:dyDescent="0.25">
      <c r="A132" s="289" t="s">
        <v>26</v>
      </c>
      <c r="B132" s="290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315"/>
    </row>
    <row r="133" spans="1:20" ht="15" customHeight="1" x14ac:dyDescent="0.25">
      <c r="A133" s="19">
        <v>9</v>
      </c>
      <c r="B133" s="201" t="s">
        <v>84</v>
      </c>
      <c r="C133" s="46">
        <v>60</v>
      </c>
      <c r="D133" s="220">
        <v>1.8</v>
      </c>
      <c r="E133" s="220">
        <v>6.4</v>
      </c>
      <c r="F133" s="126">
        <v>2.1</v>
      </c>
      <c r="G133" s="126">
        <f>37.6/60*C133</f>
        <v>37.6</v>
      </c>
      <c r="H133" s="130">
        <f>0.03/60*C133</f>
        <v>0.03</v>
      </c>
      <c r="I133" s="130">
        <f>0.04/60*C133</f>
        <v>0.04</v>
      </c>
      <c r="J133" s="130">
        <f>793/60*C133</f>
        <v>793</v>
      </c>
      <c r="K133" s="130">
        <f>0.04/60*C133</f>
        <v>0.04</v>
      </c>
      <c r="L133" s="130">
        <f>1.31/60*C133</f>
        <v>1.31</v>
      </c>
      <c r="M133" s="130">
        <f>109/60*C133</f>
        <v>109</v>
      </c>
      <c r="N133" s="130">
        <f>16/60*C133</f>
        <v>16</v>
      </c>
      <c r="O133" s="130">
        <f>22/60*C133</f>
        <v>22</v>
      </c>
      <c r="P133" s="130">
        <f>32/60*C133</f>
        <v>32</v>
      </c>
      <c r="Q133" s="130">
        <f>0.41/60*C133</f>
        <v>0.41</v>
      </c>
      <c r="R133" s="130">
        <f>3.3/60*C133</f>
        <v>3.3</v>
      </c>
      <c r="S133" s="173">
        <f>0.09/60*C133</f>
        <v>0.09</v>
      </c>
      <c r="T133" s="126">
        <f>36/60*C133</f>
        <v>36</v>
      </c>
    </row>
    <row r="134" spans="1:20" ht="15" customHeight="1" x14ac:dyDescent="0.25">
      <c r="A134" s="200" t="s">
        <v>157</v>
      </c>
      <c r="B134" s="88" t="s">
        <v>52</v>
      </c>
      <c r="C134" s="142">
        <v>180</v>
      </c>
      <c r="D134" s="135">
        <f>3.23/200*C134</f>
        <v>2.907</v>
      </c>
      <c r="E134" s="135">
        <f>5.78/200*C134</f>
        <v>5.202</v>
      </c>
      <c r="F134" s="135">
        <f>33.5/200*C134</f>
        <v>30.150000000000002</v>
      </c>
      <c r="G134" s="136">
        <f>284.1/200*C134</f>
        <v>255.69000000000003</v>
      </c>
      <c r="H134" s="143">
        <v>0.02</v>
      </c>
      <c r="I134" s="143">
        <f>0.03/200*C134</f>
        <v>2.6999999999999996E-2</v>
      </c>
      <c r="J134" s="143">
        <f>105/200*C134</f>
        <v>94.5</v>
      </c>
      <c r="K134" s="143">
        <v>0</v>
      </c>
      <c r="L134" s="143">
        <f>10.76/200*C134</f>
        <v>9.6839999999999993</v>
      </c>
      <c r="M134" s="143">
        <f>184/200*C134</f>
        <v>165.6</v>
      </c>
      <c r="N134" s="143">
        <f>37.4/200*C134</f>
        <v>33.659999999999997</v>
      </c>
      <c r="O134" s="143">
        <f>13.2/200*C134</f>
        <v>11.88</v>
      </c>
      <c r="P134" s="143">
        <f>31/200*C134</f>
        <v>27.9</v>
      </c>
      <c r="Q134" s="143">
        <f>0.47/200*C134</f>
        <v>0.42299999999999993</v>
      </c>
      <c r="R134" s="143">
        <f>15.2/200*C134</f>
        <v>13.68</v>
      </c>
      <c r="S134" s="177">
        <f>0.34/200*C134</f>
        <v>0.30600000000000005</v>
      </c>
      <c r="T134" s="61">
        <f>14.76/200*C134</f>
        <v>13.284000000000001</v>
      </c>
    </row>
    <row r="135" spans="1:20" ht="15" customHeight="1" x14ac:dyDescent="0.25">
      <c r="A135" s="270" t="s">
        <v>192</v>
      </c>
      <c r="B135" s="5" t="s">
        <v>85</v>
      </c>
      <c r="C135" s="114">
        <v>150</v>
      </c>
      <c r="D135" s="61">
        <f>5.9/200*C135</f>
        <v>4.4250000000000007</v>
      </c>
      <c r="E135" s="61">
        <f>7/200*C135</f>
        <v>5.2500000000000009</v>
      </c>
      <c r="F135" s="61">
        <f>40.6/200*C135</f>
        <v>30.450000000000003</v>
      </c>
      <c r="G135" s="61">
        <f>249.5/200*C135</f>
        <v>187.125</v>
      </c>
      <c r="H135" s="61">
        <f>0.06/200*C135</f>
        <v>4.4999999999999998E-2</v>
      </c>
      <c r="I135" s="61">
        <f>0.04/200*C135</f>
        <v>3.0000000000000002E-2</v>
      </c>
      <c r="J135" s="61">
        <f>27/200*C135</f>
        <v>20.25</v>
      </c>
      <c r="K135" s="61">
        <f>0.13/200*C135</f>
        <v>9.7499999999999989E-2</v>
      </c>
      <c r="L135" s="61">
        <v>0</v>
      </c>
      <c r="M135" s="61">
        <f>97.6/200*C135</f>
        <v>73.2</v>
      </c>
      <c r="N135" s="61">
        <f>26/200*C135</f>
        <v>19.5</v>
      </c>
      <c r="O135" s="61">
        <f>23/200*C135</f>
        <v>17.25</v>
      </c>
      <c r="P135" s="61">
        <f>190/200*C135</f>
        <v>142.5</v>
      </c>
      <c r="Q135" s="61">
        <f>1.07/200*C135</f>
        <v>0.8025000000000001</v>
      </c>
      <c r="R135" s="61">
        <f>20/200*C135</f>
        <v>15</v>
      </c>
      <c r="S135" s="133">
        <f>22.2/200*C135</f>
        <v>16.649999999999999</v>
      </c>
      <c r="T135" s="61">
        <f>0.3/200*C135</f>
        <v>0.22500000000000001</v>
      </c>
    </row>
    <row r="136" spans="1:20" ht="15" customHeight="1" x14ac:dyDescent="0.25">
      <c r="A136" s="269" t="s">
        <v>115</v>
      </c>
      <c r="B136" s="266" t="s">
        <v>86</v>
      </c>
      <c r="C136" s="134">
        <v>100</v>
      </c>
      <c r="D136" s="106">
        <f>8.2/100*C136</f>
        <v>8.1999999999999993</v>
      </c>
      <c r="E136" s="106">
        <f>5.3/100*C136</f>
        <v>5.3</v>
      </c>
      <c r="F136" s="106">
        <f>2.6/100*C136</f>
        <v>2.6</v>
      </c>
      <c r="G136" s="106">
        <f>91.4/100*C136</f>
        <v>91.4</v>
      </c>
      <c r="H136" s="106">
        <f>76.6/100*C136</f>
        <v>76.599999999999994</v>
      </c>
      <c r="I136" s="106">
        <f>0.03/100*C136</f>
        <v>0.03</v>
      </c>
      <c r="J136" s="106">
        <f>0.05/100*C136</f>
        <v>0.05</v>
      </c>
      <c r="K136" s="106">
        <v>0</v>
      </c>
      <c r="L136" s="106">
        <f>1.04/100*C136</f>
        <v>1.04</v>
      </c>
      <c r="M136" s="106">
        <f>123.84/100*C136</f>
        <v>123.83999999999999</v>
      </c>
      <c r="N136" s="107">
        <f>14.13/100*C136</f>
        <v>14.13</v>
      </c>
      <c r="O136" s="107">
        <f>11.76/100*C136</f>
        <v>11.76</v>
      </c>
      <c r="P136" s="107">
        <f>75.3/100*C136</f>
        <v>75.3</v>
      </c>
      <c r="Q136" s="107">
        <f>2.75/100*C136</f>
        <v>2.75</v>
      </c>
      <c r="R136" s="107">
        <f>0.74/100*C136</f>
        <v>0.74</v>
      </c>
      <c r="S136" s="171">
        <f>0.16/100*C136</f>
        <v>0.16</v>
      </c>
      <c r="T136" s="12">
        <v>0</v>
      </c>
    </row>
    <row r="137" spans="1:20" ht="15" customHeight="1" x14ac:dyDescent="0.25">
      <c r="A137" s="4">
        <v>233</v>
      </c>
      <c r="B137" s="5" t="s">
        <v>99</v>
      </c>
      <c r="C137" s="26">
        <v>200</v>
      </c>
      <c r="D137" s="61">
        <f>0.2/200*C137</f>
        <v>0.2</v>
      </c>
      <c r="E137" s="61">
        <f>0.1/200*C137</f>
        <v>0.1</v>
      </c>
      <c r="F137" s="61">
        <f>12.3/200*C137</f>
        <v>12.3</v>
      </c>
      <c r="G137" s="133">
        <f>50.5/200*C137</f>
        <v>50.5</v>
      </c>
      <c r="H137" s="126">
        <f>0.01/200*C137</f>
        <v>0.01</v>
      </c>
      <c r="I137" s="126">
        <f>0.01/200*C137</f>
        <v>0.01</v>
      </c>
      <c r="J137" s="126">
        <f>2.45/200*C137</f>
        <v>2.4500000000000002</v>
      </c>
      <c r="K137" s="126">
        <v>0</v>
      </c>
      <c r="L137" s="126">
        <f>19.2/200*C137</f>
        <v>19.2</v>
      </c>
      <c r="M137" s="126">
        <f>70.6/200*C137</f>
        <v>70.599999999999994</v>
      </c>
      <c r="N137" s="126">
        <f>9.8/200*C137</f>
        <v>9.8000000000000007</v>
      </c>
      <c r="O137" s="126">
        <f>6.5/200*C137</f>
        <v>6.5</v>
      </c>
      <c r="P137" s="126">
        <f>11/200*C137</f>
        <v>11</v>
      </c>
      <c r="Q137" s="126">
        <f>0.29/200*C137</f>
        <v>0.28999999999999998</v>
      </c>
      <c r="R137" s="126">
        <f>0.2/200*C137</f>
        <v>0.2</v>
      </c>
      <c r="S137" s="126">
        <f>0.23/200*C137</f>
        <v>0.22999999999999998</v>
      </c>
      <c r="T137" s="126">
        <f>4.08/200*C137</f>
        <v>4.08</v>
      </c>
    </row>
    <row r="138" spans="1:20" ht="15" customHeight="1" x14ac:dyDescent="0.25">
      <c r="A138" s="4" t="s">
        <v>124</v>
      </c>
      <c r="B138" s="35" t="s">
        <v>23</v>
      </c>
      <c r="C138" s="6">
        <v>60</v>
      </c>
      <c r="D138" s="10">
        <f>1.5/25*C138</f>
        <v>3.5999999999999996</v>
      </c>
      <c r="E138" s="10">
        <f>0.5/25*C138</f>
        <v>1.2</v>
      </c>
      <c r="F138" s="10">
        <f>10.2/25*C138</f>
        <v>24.479999999999997</v>
      </c>
      <c r="G138" s="10">
        <f>52/25*C138</f>
        <v>124.80000000000001</v>
      </c>
      <c r="H138" s="10">
        <f>0.1/25*C138</f>
        <v>0.24</v>
      </c>
      <c r="I138" s="10">
        <f>0.08/25*C138</f>
        <v>0.192</v>
      </c>
      <c r="J138" s="10">
        <v>0</v>
      </c>
      <c r="K138" s="10">
        <v>0</v>
      </c>
      <c r="L138" s="10">
        <f>0.1/25*C138</f>
        <v>0.24</v>
      </c>
      <c r="M138" s="10">
        <f>41.5/25*C138</f>
        <v>99.6</v>
      </c>
      <c r="N138" s="10">
        <f>19.75/25*C138</f>
        <v>47.400000000000006</v>
      </c>
      <c r="O138" s="10">
        <f>10/25*C138</f>
        <v>24</v>
      </c>
      <c r="P138" s="10">
        <f>31.25/25*C138</f>
        <v>75</v>
      </c>
      <c r="Q138" s="10">
        <f>10/25*C138</f>
        <v>24</v>
      </c>
      <c r="R138" s="10">
        <f>0.7/25*C138</f>
        <v>1.6799999999999997</v>
      </c>
      <c r="S138" s="172">
        <f>7.73/25*C138</f>
        <v>18.552000000000003</v>
      </c>
      <c r="T138" s="10">
        <f>12.75/25*C138</f>
        <v>30.6</v>
      </c>
    </row>
    <row r="139" spans="1:20" ht="15" customHeight="1" x14ac:dyDescent="0.25">
      <c r="A139" s="4" t="s">
        <v>124</v>
      </c>
      <c r="B139" s="32" t="s">
        <v>24</v>
      </c>
      <c r="C139" s="16">
        <v>30</v>
      </c>
      <c r="D139" s="25">
        <f>3.4/45*C139</f>
        <v>2.2666666666666666</v>
      </c>
      <c r="E139" s="25">
        <f>0.4/45*C139</f>
        <v>0.26666666666666666</v>
      </c>
      <c r="F139" s="25">
        <f>22.1/45*C139</f>
        <v>14.733333333333334</v>
      </c>
      <c r="G139" s="25">
        <f>105.8/45*C139</f>
        <v>70.533333333333331</v>
      </c>
      <c r="H139" s="25">
        <f>0.05/45*C139</f>
        <v>3.3333333333333333E-2</v>
      </c>
      <c r="I139" s="25">
        <f>0.01/45*C139</f>
        <v>6.6666666666666671E-3</v>
      </c>
      <c r="J139" s="25">
        <v>0</v>
      </c>
      <c r="K139" s="25">
        <v>0</v>
      </c>
      <c r="L139" s="25">
        <v>0</v>
      </c>
      <c r="M139" s="25">
        <f>46.5/45*C139</f>
        <v>31.000000000000004</v>
      </c>
      <c r="N139" s="27">
        <f>10/45*C139</f>
        <v>6.6666666666666661</v>
      </c>
      <c r="O139" s="27">
        <f>7/45*C139</f>
        <v>4.666666666666667</v>
      </c>
      <c r="P139" s="27">
        <f>32.5/45*C139</f>
        <v>21.666666666666668</v>
      </c>
      <c r="Q139" s="27">
        <f>1.6/45*C139</f>
        <v>1.0666666666666667</v>
      </c>
      <c r="R139" s="27">
        <f>0.55/45*C139</f>
        <v>0.3666666666666667</v>
      </c>
      <c r="S139" s="166">
        <f>3/45*C139</f>
        <v>2</v>
      </c>
      <c r="T139" s="27">
        <f>7.5/45*C139</f>
        <v>5</v>
      </c>
    </row>
    <row r="140" spans="1:20" ht="15" customHeight="1" x14ac:dyDescent="0.25">
      <c r="A140" s="4"/>
      <c r="B140" s="4"/>
      <c r="C140" s="59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178"/>
      <c r="T140" s="10"/>
    </row>
    <row r="141" spans="1:20" ht="15" customHeight="1" x14ac:dyDescent="0.25">
      <c r="A141" s="4"/>
      <c r="B141" s="28" t="s">
        <v>53</v>
      </c>
      <c r="C141" s="28">
        <f t="shared" ref="C141:T141" si="17">SUM(C133:C140)</f>
        <v>780</v>
      </c>
      <c r="D141" s="54">
        <f t="shared" si="17"/>
        <v>23.398666666666664</v>
      </c>
      <c r="E141" s="54">
        <f t="shared" si="17"/>
        <v>23.718666666666667</v>
      </c>
      <c r="F141" s="55">
        <f t="shared" si="17"/>
        <v>116.81333333333332</v>
      </c>
      <c r="G141" s="55">
        <f t="shared" si="17"/>
        <v>817.64833333333331</v>
      </c>
      <c r="H141" s="54">
        <f t="shared" si="17"/>
        <v>76.978333333333325</v>
      </c>
      <c r="I141" s="54">
        <f t="shared" si="17"/>
        <v>0.33566666666666667</v>
      </c>
      <c r="J141" s="55">
        <f t="shared" si="17"/>
        <v>910.25</v>
      </c>
      <c r="K141" s="54">
        <f t="shared" si="17"/>
        <v>0.13749999999999998</v>
      </c>
      <c r="L141" s="54">
        <f t="shared" si="17"/>
        <v>31.473999999999997</v>
      </c>
      <c r="M141" s="55">
        <f t="shared" si="17"/>
        <v>672.84</v>
      </c>
      <c r="N141" s="55">
        <f t="shared" si="17"/>
        <v>147.15666666666667</v>
      </c>
      <c r="O141" s="55">
        <f t="shared" si="17"/>
        <v>98.056666666666672</v>
      </c>
      <c r="P141" s="55">
        <f t="shared" si="17"/>
        <v>385.36666666666667</v>
      </c>
      <c r="Q141" s="55">
        <f t="shared" si="17"/>
        <v>29.742166666666666</v>
      </c>
      <c r="R141" s="54">
        <f t="shared" si="17"/>
        <v>34.966666666666669</v>
      </c>
      <c r="S141" s="159">
        <f t="shared" si="17"/>
        <v>37.988</v>
      </c>
      <c r="T141" s="47">
        <f t="shared" si="17"/>
        <v>89.188999999999993</v>
      </c>
    </row>
    <row r="142" spans="1:20" ht="15" customHeight="1" x14ac:dyDescent="0.25">
      <c r="A142" s="4"/>
      <c r="B142" s="298" t="s">
        <v>30</v>
      </c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</row>
    <row r="143" spans="1:20" ht="15" customHeight="1" x14ac:dyDescent="0.25">
      <c r="A143" s="4" t="s">
        <v>124</v>
      </c>
      <c r="B143" s="32" t="s">
        <v>55</v>
      </c>
      <c r="C143" s="4">
        <v>70</v>
      </c>
      <c r="D143" s="56">
        <f>4.5/60*C143</f>
        <v>5.25</v>
      </c>
      <c r="E143" s="56">
        <v>8.1</v>
      </c>
      <c r="F143" s="56">
        <f>4.6/60*C143</f>
        <v>5.3666666666666663</v>
      </c>
      <c r="G143" s="56">
        <f>108/60*C143</f>
        <v>126</v>
      </c>
      <c r="H143" s="56">
        <f>0.07/60*C143</f>
        <v>8.1666666666666679E-2</v>
      </c>
      <c r="I143" s="56">
        <f>0.01/60*C143</f>
        <v>1.1666666666666665E-2</v>
      </c>
      <c r="J143" s="56">
        <v>0</v>
      </c>
      <c r="K143" s="56">
        <v>0</v>
      </c>
      <c r="L143" s="56">
        <v>0</v>
      </c>
      <c r="M143" s="7">
        <f>61.2/60*C143</f>
        <v>71.400000000000006</v>
      </c>
      <c r="N143" s="7">
        <f>11.4/60*C143</f>
        <v>13.3</v>
      </c>
      <c r="O143" s="7">
        <f>8.4/60*C143</f>
        <v>9.8000000000000007</v>
      </c>
      <c r="P143" s="7">
        <v>0</v>
      </c>
      <c r="Q143" s="7">
        <f>6/60*C143</f>
        <v>7</v>
      </c>
      <c r="R143" s="7">
        <f>0.78/60*C143</f>
        <v>0.91</v>
      </c>
      <c r="S143" s="128">
        <f>11.4/60*C143</f>
        <v>13.3</v>
      </c>
      <c r="T143" s="7">
        <v>0</v>
      </c>
    </row>
    <row r="144" spans="1:20" ht="15" customHeight="1" x14ac:dyDescent="0.25">
      <c r="A144" s="4" t="s">
        <v>124</v>
      </c>
      <c r="B144" s="32" t="s">
        <v>100</v>
      </c>
      <c r="C144" s="4">
        <v>250</v>
      </c>
      <c r="D144" s="56">
        <v>2.78</v>
      </c>
      <c r="E144" s="56">
        <f>0.4/200*C144</f>
        <v>0.5</v>
      </c>
      <c r="F144" s="56">
        <f>23.2/200*C144</f>
        <v>28.999999999999996</v>
      </c>
      <c r="G144" s="56">
        <f>100/200*C144</f>
        <v>125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7">
        <f>202/200*C144</f>
        <v>252.5</v>
      </c>
      <c r="N144" s="7">
        <f>16/200*C144</f>
        <v>20</v>
      </c>
      <c r="O144" s="7">
        <f>10/200*C144</f>
        <v>12.5</v>
      </c>
      <c r="P144" s="7">
        <f>14/200*C144</f>
        <v>17.5</v>
      </c>
      <c r="Q144" s="7">
        <v>0</v>
      </c>
      <c r="R144" s="7">
        <f>0.2/200*C144</f>
        <v>0.25</v>
      </c>
      <c r="S144" s="128">
        <f>0.2/200*C144</f>
        <v>0.25</v>
      </c>
      <c r="T144" s="7">
        <v>0</v>
      </c>
    </row>
    <row r="145" spans="1:20" ht="15" customHeight="1" x14ac:dyDescent="0.25">
      <c r="A145" s="4"/>
      <c r="B145" s="32"/>
      <c r="C145" s="4"/>
      <c r="D145" s="56"/>
      <c r="E145" s="56"/>
      <c r="F145" s="56"/>
      <c r="G145" s="56"/>
      <c r="H145" s="56"/>
      <c r="I145" s="56"/>
      <c r="J145" s="56"/>
      <c r="K145" s="56"/>
      <c r="L145" s="56"/>
      <c r="M145" s="7"/>
      <c r="N145" s="7"/>
      <c r="O145" s="7"/>
      <c r="P145" s="7"/>
      <c r="Q145" s="7"/>
      <c r="R145" s="7"/>
      <c r="S145" s="128"/>
      <c r="T145" s="7"/>
    </row>
    <row r="146" spans="1:20" ht="15" customHeight="1" x14ac:dyDescent="0.25">
      <c r="A146" s="4"/>
      <c r="B146" s="28" t="s">
        <v>32</v>
      </c>
      <c r="C146" s="28">
        <f t="shared" ref="C146:T146" si="18">SUM(C143:C144)</f>
        <v>320</v>
      </c>
      <c r="D146" s="28">
        <f t="shared" si="18"/>
        <v>8.0299999999999994</v>
      </c>
      <c r="E146" s="28">
        <f t="shared" si="18"/>
        <v>8.6</v>
      </c>
      <c r="F146" s="28">
        <f t="shared" si="18"/>
        <v>34.36666666666666</v>
      </c>
      <c r="G146" s="28">
        <f t="shared" si="18"/>
        <v>251</v>
      </c>
      <c r="H146" s="28">
        <f t="shared" si="18"/>
        <v>8.1666666666666679E-2</v>
      </c>
      <c r="I146" s="28">
        <f t="shared" si="18"/>
        <v>1.1666666666666665E-2</v>
      </c>
      <c r="J146" s="28">
        <f t="shared" si="18"/>
        <v>0</v>
      </c>
      <c r="K146" s="28">
        <f t="shared" si="18"/>
        <v>0</v>
      </c>
      <c r="L146" s="28">
        <f t="shared" si="18"/>
        <v>0</v>
      </c>
      <c r="M146" s="28">
        <f t="shared" si="18"/>
        <v>323.89999999999998</v>
      </c>
      <c r="N146" s="28">
        <f t="shared" si="18"/>
        <v>33.299999999999997</v>
      </c>
      <c r="O146" s="28">
        <f t="shared" si="18"/>
        <v>22.3</v>
      </c>
      <c r="P146" s="28">
        <f t="shared" si="18"/>
        <v>17.5</v>
      </c>
      <c r="Q146" s="28">
        <f t="shared" si="18"/>
        <v>7</v>
      </c>
      <c r="R146" s="28">
        <f t="shared" si="18"/>
        <v>1.1600000000000001</v>
      </c>
      <c r="S146" s="28">
        <f t="shared" si="18"/>
        <v>13.55</v>
      </c>
      <c r="T146" s="28">
        <f t="shared" si="18"/>
        <v>0</v>
      </c>
    </row>
    <row r="147" spans="1:20" ht="15" customHeight="1" x14ac:dyDescent="0.25">
      <c r="A147" s="4"/>
      <c r="B147" s="28" t="s">
        <v>33</v>
      </c>
      <c r="C147" s="28">
        <f t="shared" ref="C147:T147" si="19">C146+C141+C131</f>
        <v>1680</v>
      </c>
      <c r="D147" s="54">
        <f t="shared" si="19"/>
        <v>50.12866666666666</v>
      </c>
      <c r="E147" s="28">
        <f t="shared" si="19"/>
        <v>48.218666666666664</v>
      </c>
      <c r="F147" s="28">
        <f t="shared" si="19"/>
        <v>226.77999999999997</v>
      </c>
      <c r="G147" s="28">
        <f t="shared" si="19"/>
        <v>1539.6483333333333</v>
      </c>
      <c r="H147" s="28">
        <f t="shared" si="19"/>
        <v>143.49999999999997</v>
      </c>
      <c r="I147" s="28">
        <f t="shared" si="19"/>
        <v>0.71733333333333338</v>
      </c>
      <c r="J147" s="28">
        <f t="shared" si="19"/>
        <v>991.05</v>
      </c>
      <c r="K147" s="28">
        <f t="shared" si="19"/>
        <v>0.3175</v>
      </c>
      <c r="L147" s="28">
        <f t="shared" si="19"/>
        <v>42.373999999999995</v>
      </c>
      <c r="M147" s="28">
        <f t="shared" si="19"/>
        <v>1684.04</v>
      </c>
      <c r="N147" s="28">
        <f t="shared" si="19"/>
        <v>397.60666666666668</v>
      </c>
      <c r="O147" s="28">
        <f t="shared" si="19"/>
        <v>234.25666666666666</v>
      </c>
      <c r="P147" s="28">
        <f t="shared" si="19"/>
        <v>701.61666666666667</v>
      </c>
      <c r="Q147" s="28">
        <f t="shared" si="19"/>
        <v>53.482166666666664</v>
      </c>
      <c r="R147" s="28">
        <f t="shared" si="19"/>
        <v>114.07666666666667</v>
      </c>
      <c r="S147" s="51">
        <f t="shared" si="19"/>
        <v>67.188000000000002</v>
      </c>
      <c r="T147" s="28">
        <f t="shared" si="19"/>
        <v>148.73899999999998</v>
      </c>
    </row>
    <row r="148" spans="1:20" ht="15" customHeight="1" x14ac:dyDescent="0.25">
      <c r="A148" s="304" t="s">
        <v>56</v>
      </c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307"/>
    </row>
    <row r="149" spans="1:20" ht="15" customHeight="1" x14ac:dyDescent="0.25">
      <c r="A149" s="317" t="s">
        <v>57</v>
      </c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307"/>
    </row>
    <row r="150" spans="1:20" ht="15" customHeight="1" x14ac:dyDescent="0.25">
      <c r="A150" s="285" t="s">
        <v>18</v>
      </c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308"/>
    </row>
    <row r="151" spans="1:20" ht="15" customHeight="1" x14ac:dyDescent="0.25">
      <c r="A151" s="295" t="s">
        <v>19</v>
      </c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309"/>
    </row>
    <row r="152" spans="1:20" ht="15" customHeight="1" x14ac:dyDescent="0.25">
      <c r="A152" s="4" t="s">
        <v>158</v>
      </c>
      <c r="B152" s="36" t="s">
        <v>72</v>
      </c>
      <c r="C152" s="16">
        <v>250</v>
      </c>
      <c r="D152" s="11">
        <f>5/200*C152</f>
        <v>6.25</v>
      </c>
      <c r="E152" s="11">
        <f>5.8/200*C152</f>
        <v>7.2499999999999991</v>
      </c>
      <c r="F152" s="11">
        <v>24.1</v>
      </c>
      <c r="G152" s="11">
        <f>168.9/200*C152</f>
        <v>211.125</v>
      </c>
      <c r="H152" s="61">
        <f>0.78/200*C152</f>
        <v>0.97500000000000009</v>
      </c>
      <c r="I152" s="61">
        <f>0.12/200*C152</f>
        <v>0.15</v>
      </c>
      <c r="J152" s="61">
        <f>27.2/200*C152</f>
        <v>34</v>
      </c>
      <c r="K152" s="61">
        <f>0.07/200*C152</f>
        <v>8.7500000000000008E-2</v>
      </c>
      <c r="L152" s="61">
        <f>0.53/200*C152</f>
        <v>0.66249999999999998</v>
      </c>
      <c r="M152" s="61">
        <f>157/200*C152</f>
        <v>196.25</v>
      </c>
      <c r="N152" s="61">
        <f>116/200*C152</f>
        <v>145</v>
      </c>
      <c r="O152" s="94">
        <f>27/200*C152</f>
        <v>33.75</v>
      </c>
      <c r="P152" s="93">
        <f>124/200*C152</f>
        <v>155</v>
      </c>
      <c r="Q152" s="93">
        <f>0.53/200*C152</f>
        <v>0.66249999999999998</v>
      </c>
      <c r="R152" s="61">
        <f>50/200*C152</f>
        <v>62.5</v>
      </c>
      <c r="S152" s="133">
        <f>4.09/200*C152</f>
        <v>5.1124999999999998</v>
      </c>
      <c r="T152" s="93">
        <f>31/200*C152</f>
        <v>38.75</v>
      </c>
    </row>
    <row r="153" spans="1:20" ht="15" customHeight="1" x14ac:dyDescent="0.25">
      <c r="A153" s="8" t="s">
        <v>134</v>
      </c>
      <c r="B153" s="32" t="s">
        <v>44</v>
      </c>
      <c r="C153" s="9">
        <v>200</v>
      </c>
      <c r="D153" s="10">
        <f>4.6/200*C153</f>
        <v>4.5999999999999996</v>
      </c>
      <c r="E153" s="10">
        <f>3.6/200*C153</f>
        <v>3.6000000000000005</v>
      </c>
      <c r="F153" s="10">
        <f>12.6/200*C153</f>
        <v>12.6</v>
      </c>
      <c r="G153" s="10">
        <f>100.4/200*C153</f>
        <v>100.4</v>
      </c>
      <c r="H153" s="10">
        <f>0.04/200*C153</f>
        <v>0.04</v>
      </c>
      <c r="I153" s="10">
        <f>0.17/200*C153</f>
        <v>0.17</v>
      </c>
      <c r="J153" s="10">
        <f>17.3/200*C153</f>
        <v>17.3</v>
      </c>
      <c r="K153" s="10">
        <v>0</v>
      </c>
      <c r="L153" s="10">
        <f>0.68/200*C153</f>
        <v>0.68</v>
      </c>
      <c r="M153" s="11">
        <f>220/200*C153</f>
        <v>220.00000000000003</v>
      </c>
      <c r="N153" s="12">
        <f>143/200*C153</f>
        <v>143</v>
      </c>
      <c r="O153" s="12">
        <f>34/200*C153</f>
        <v>34</v>
      </c>
      <c r="P153" s="12">
        <f>130/200*C153</f>
        <v>130</v>
      </c>
      <c r="Q153" s="12">
        <f>1.09/200*C153</f>
        <v>1.0900000000000001</v>
      </c>
      <c r="R153" s="12">
        <f>12/200*C153</f>
        <v>12</v>
      </c>
      <c r="S153" s="157">
        <f>2.29/200*C153</f>
        <v>2.29</v>
      </c>
      <c r="T153" s="12">
        <f>38/200*C153</f>
        <v>38</v>
      </c>
    </row>
    <row r="154" spans="1:20" ht="15" customHeight="1" x14ac:dyDescent="0.25">
      <c r="A154" s="14" t="s">
        <v>135</v>
      </c>
      <c r="B154" s="35" t="s">
        <v>22</v>
      </c>
      <c r="C154" s="6">
        <v>15</v>
      </c>
      <c r="D154" s="7">
        <v>3.4</v>
      </c>
      <c r="E154" s="7">
        <f>4.4/15*C154</f>
        <v>4.4000000000000004</v>
      </c>
      <c r="F154" s="7">
        <v>0</v>
      </c>
      <c r="G154" s="7">
        <f>53.7/15*C154</f>
        <v>53.7</v>
      </c>
      <c r="H154" s="7">
        <f>0.01/15*C154</f>
        <v>0.01</v>
      </c>
      <c r="I154" s="7">
        <f>0.05/15*C154</f>
        <v>0.05</v>
      </c>
      <c r="J154" s="7">
        <f>39/15*C154</f>
        <v>39</v>
      </c>
      <c r="K154" s="7">
        <f>0.15/15*C154</f>
        <v>0.15</v>
      </c>
      <c r="L154" s="7">
        <f>0.11/15*C154</f>
        <v>0.11</v>
      </c>
      <c r="M154" s="7">
        <f>13/15*C154</f>
        <v>13</v>
      </c>
      <c r="N154" s="7">
        <f>132/15*C154</f>
        <v>132</v>
      </c>
      <c r="O154" s="7">
        <f>5.3/15*C154</f>
        <v>5.3</v>
      </c>
      <c r="P154" s="7">
        <f>75/15*C154</f>
        <v>75</v>
      </c>
      <c r="Q154" s="7">
        <f>0.15/15*C154</f>
        <v>0.15</v>
      </c>
      <c r="R154" s="7">
        <v>0</v>
      </c>
      <c r="S154" s="128">
        <f>2.18/15*C154</f>
        <v>2.1800000000000002</v>
      </c>
      <c r="T154" s="7">
        <v>0</v>
      </c>
    </row>
    <row r="155" spans="1:20" ht="15" customHeight="1" x14ac:dyDescent="0.25">
      <c r="A155" s="14" t="s">
        <v>124</v>
      </c>
      <c r="B155" s="35" t="s">
        <v>23</v>
      </c>
      <c r="C155" s="6">
        <v>25</v>
      </c>
      <c r="D155" s="10">
        <f>1.5/25*C155</f>
        <v>1.5</v>
      </c>
      <c r="E155" s="10">
        <f>0.5/25*C155</f>
        <v>0.5</v>
      </c>
      <c r="F155" s="10">
        <f>10.2/25*C155</f>
        <v>10.199999999999999</v>
      </c>
      <c r="G155" s="10">
        <f>52/25*C155</f>
        <v>52</v>
      </c>
      <c r="H155" s="10">
        <f>0.1/25*C155</f>
        <v>0.1</v>
      </c>
      <c r="I155" s="10">
        <f>0.08/25*C155</f>
        <v>0.08</v>
      </c>
      <c r="J155" s="10">
        <v>0</v>
      </c>
      <c r="K155" s="10">
        <v>0</v>
      </c>
      <c r="L155" s="10">
        <f>0.1/25*C155</f>
        <v>0.1</v>
      </c>
      <c r="M155" s="10">
        <f>41.5/25*C155</f>
        <v>41.5</v>
      </c>
      <c r="N155" s="10">
        <f>19.75/25*C155</f>
        <v>19.75</v>
      </c>
      <c r="O155" s="10">
        <f>10/25*C155</f>
        <v>10</v>
      </c>
      <c r="P155" s="10">
        <f>31.25/25*C155</f>
        <v>31.25</v>
      </c>
      <c r="Q155" s="10">
        <f>10/25*C155</f>
        <v>10</v>
      </c>
      <c r="R155" s="10">
        <f>0.7/25*C155</f>
        <v>0.7</v>
      </c>
      <c r="S155" s="172">
        <f>7.73/25*C155</f>
        <v>7.73</v>
      </c>
      <c r="T155" s="10">
        <f>12.75/25*C155</f>
        <v>12.75</v>
      </c>
    </row>
    <row r="156" spans="1:20" ht="15" customHeight="1" x14ac:dyDescent="0.25">
      <c r="A156" s="14" t="s">
        <v>124</v>
      </c>
      <c r="B156" s="32" t="s">
        <v>24</v>
      </c>
      <c r="C156" s="16">
        <v>45</v>
      </c>
      <c r="D156" s="25">
        <f>3.4/45*C156</f>
        <v>3.4</v>
      </c>
      <c r="E156" s="25">
        <f>0.4/45*C156</f>
        <v>0.4</v>
      </c>
      <c r="F156" s="25">
        <f>22.1/45*C156</f>
        <v>22.1</v>
      </c>
      <c r="G156" s="25">
        <f>105.8/45*C156</f>
        <v>105.8</v>
      </c>
      <c r="H156" s="25">
        <f>0.05/45*C156</f>
        <v>0.05</v>
      </c>
      <c r="I156" s="25">
        <f>0.01/45*C156</f>
        <v>0.01</v>
      </c>
      <c r="J156" s="25">
        <v>0</v>
      </c>
      <c r="K156" s="25">
        <v>0</v>
      </c>
      <c r="L156" s="25">
        <v>0</v>
      </c>
      <c r="M156" s="25">
        <f>46.5/45*C156</f>
        <v>46.500000000000007</v>
      </c>
      <c r="N156" s="27">
        <f>10/45*C156</f>
        <v>10</v>
      </c>
      <c r="O156" s="27">
        <f>7/45*C156</f>
        <v>7</v>
      </c>
      <c r="P156" s="27">
        <f>32.5/45*C156</f>
        <v>32.5</v>
      </c>
      <c r="Q156" s="27">
        <f>1.6/45*C156</f>
        <v>1.6</v>
      </c>
      <c r="R156" s="27">
        <f>0.55/45*C156</f>
        <v>0.55000000000000004</v>
      </c>
      <c r="S156" s="166">
        <f>3/45*C156</f>
        <v>3</v>
      </c>
      <c r="T156" s="27">
        <f>7.5/45*C156</f>
        <v>7.5</v>
      </c>
    </row>
    <row r="157" spans="1:20" ht="15" customHeight="1" x14ac:dyDescent="0.25">
      <c r="A157" s="14"/>
      <c r="B157" s="32"/>
      <c r="C157" s="1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2"/>
      <c r="O157" s="12"/>
      <c r="P157" s="12"/>
      <c r="Q157" s="12"/>
      <c r="R157" s="12"/>
      <c r="S157" s="157"/>
      <c r="T157" s="12"/>
    </row>
    <row r="158" spans="1:20" ht="15" customHeight="1" x14ac:dyDescent="0.25">
      <c r="A158" s="4"/>
      <c r="B158" s="28" t="s">
        <v>37</v>
      </c>
      <c r="C158" s="28">
        <f t="shared" ref="C158:T158" si="20">SUM(C152:C156)</f>
        <v>535</v>
      </c>
      <c r="D158" s="54">
        <f t="shared" si="20"/>
        <v>19.149999999999999</v>
      </c>
      <c r="E158" s="54">
        <f t="shared" si="20"/>
        <v>16.149999999999999</v>
      </c>
      <c r="F158" s="54">
        <f t="shared" si="20"/>
        <v>69</v>
      </c>
      <c r="G158" s="55">
        <f t="shared" si="20"/>
        <v>523.02499999999998</v>
      </c>
      <c r="H158" s="54">
        <f t="shared" si="20"/>
        <v>1.1750000000000003</v>
      </c>
      <c r="I158" s="54">
        <f t="shared" si="20"/>
        <v>0.46</v>
      </c>
      <c r="J158" s="54">
        <f t="shared" si="20"/>
        <v>90.3</v>
      </c>
      <c r="K158" s="54">
        <f t="shared" si="20"/>
        <v>0.23749999999999999</v>
      </c>
      <c r="L158" s="54">
        <f t="shared" si="20"/>
        <v>1.5525000000000002</v>
      </c>
      <c r="M158" s="55">
        <f t="shared" si="20"/>
        <v>517.25</v>
      </c>
      <c r="N158" s="55">
        <f t="shared" si="20"/>
        <v>449.75</v>
      </c>
      <c r="O158" s="55">
        <f t="shared" si="20"/>
        <v>90.05</v>
      </c>
      <c r="P158" s="55">
        <f t="shared" si="20"/>
        <v>423.75</v>
      </c>
      <c r="Q158" s="55">
        <f t="shared" si="20"/>
        <v>13.5025</v>
      </c>
      <c r="R158" s="54">
        <f t="shared" si="20"/>
        <v>75.75</v>
      </c>
      <c r="S158" s="159">
        <f t="shared" si="20"/>
        <v>20.3125</v>
      </c>
      <c r="T158" s="54">
        <f t="shared" si="20"/>
        <v>97</v>
      </c>
    </row>
    <row r="159" spans="1:20" ht="15" customHeight="1" x14ac:dyDescent="0.25">
      <c r="A159" s="289" t="s">
        <v>26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318"/>
    </row>
    <row r="160" spans="1:20" ht="15" customHeight="1" x14ac:dyDescent="0.25">
      <c r="A160" s="146" t="s">
        <v>126</v>
      </c>
      <c r="B160" s="5" t="s">
        <v>39</v>
      </c>
      <c r="C160" s="24">
        <v>60</v>
      </c>
      <c r="D160" s="25">
        <f>0.5/60*C160</f>
        <v>0.5</v>
      </c>
      <c r="E160" s="25">
        <f>0.1/60*C160</f>
        <v>0.1</v>
      </c>
      <c r="F160" s="25">
        <f>1.5/60*C160</f>
        <v>1.5</v>
      </c>
      <c r="G160" s="86">
        <f>8.5/60*C160</f>
        <v>8.5</v>
      </c>
      <c r="H160" s="216">
        <f>0.02/60*C160</f>
        <v>0.02</v>
      </c>
      <c r="I160" s="216">
        <f>0.02/60*C160</f>
        <v>0.02</v>
      </c>
      <c r="J160" s="216">
        <f>6/60*C160</f>
        <v>6</v>
      </c>
      <c r="K160" s="216">
        <v>0</v>
      </c>
      <c r="L160" s="216">
        <f>6/60*C160</f>
        <v>6</v>
      </c>
      <c r="M160" s="217">
        <f>85/60*C160</f>
        <v>85</v>
      </c>
      <c r="N160" s="217">
        <f>14/60*C160</f>
        <v>14</v>
      </c>
      <c r="O160" s="217">
        <f>8.4/60*C160</f>
        <v>8.4</v>
      </c>
      <c r="P160" s="216">
        <f>25/60*C160</f>
        <v>25</v>
      </c>
      <c r="Q160" s="217">
        <f>0.36/60*C160</f>
        <v>0.36</v>
      </c>
      <c r="R160" s="216">
        <f>1.8/60*C160</f>
        <v>1.8</v>
      </c>
      <c r="S160" s="218">
        <f>0.18/60*C160</f>
        <v>0.18</v>
      </c>
      <c r="T160" s="219">
        <f>10/60*C160</f>
        <v>10</v>
      </c>
    </row>
    <row r="161" spans="1:20" ht="15" customHeight="1" x14ac:dyDescent="0.25">
      <c r="A161" s="270" t="s">
        <v>159</v>
      </c>
      <c r="B161" s="5" t="s">
        <v>87</v>
      </c>
      <c r="C161" s="26">
        <v>180</v>
      </c>
      <c r="D161" s="61">
        <v>7.71</v>
      </c>
      <c r="E161" s="61">
        <f>13/200*C162</f>
        <v>9.75</v>
      </c>
      <c r="F161" s="61">
        <f>73/200*C161</f>
        <v>65.7</v>
      </c>
      <c r="G161" s="61">
        <v>232.1</v>
      </c>
      <c r="H161" s="61">
        <f>0.59/200*C161</f>
        <v>0.53100000000000003</v>
      </c>
      <c r="I161" s="61">
        <f>0.48/200*C161</f>
        <v>0.43199999999999994</v>
      </c>
      <c r="J161" s="93">
        <f>582/200*C161</f>
        <v>523.80000000000007</v>
      </c>
      <c r="K161" s="61">
        <f>0.63/200*C161</f>
        <v>0.56699999999999995</v>
      </c>
      <c r="L161" s="61">
        <f>43.1/200*C161</f>
        <v>38.79</v>
      </c>
      <c r="M161" s="61">
        <f>30/200*C161</f>
        <v>27</v>
      </c>
      <c r="N161" s="61">
        <f>160/200*C161</f>
        <v>144</v>
      </c>
      <c r="O161" s="94">
        <f>217/200*C161</f>
        <v>195.29999999999998</v>
      </c>
      <c r="P161" s="94">
        <f>726/200*C161</f>
        <v>653.4</v>
      </c>
      <c r="Q161" s="93">
        <f>5.8/200*C161</f>
        <v>5.22</v>
      </c>
      <c r="R161" s="94">
        <f>409/200*C161</f>
        <v>368.09999999999997</v>
      </c>
      <c r="S161" s="133">
        <f>31.5/200*C161</f>
        <v>28.35</v>
      </c>
      <c r="T161" s="61">
        <f>169/200*C161</f>
        <v>152.1</v>
      </c>
    </row>
    <row r="162" spans="1:20" ht="15" customHeight="1" x14ac:dyDescent="0.25">
      <c r="A162" s="4" t="s">
        <v>130</v>
      </c>
      <c r="B162" s="35" t="s">
        <v>68</v>
      </c>
      <c r="C162" s="6">
        <v>150</v>
      </c>
      <c r="D162" s="7">
        <v>3.4</v>
      </c>
      <c r="E162" s="7">
        <v>1.9</v>
      </c>
      <c r="F162" s="7">
        <v>12.8</v>
      </c>
      <c r="G162" s="7">
        <v>96.8</v>
      </c>
      <c r="H162" s="7">
        <f>0.06/150*C162</f>
        <v>0.06</v>
      </c>
      <c r="I162" s="7">
        <f>0.03/150*C162</f>
        <v>0.03</v>
      </c>
      <c r="J162" s="7">
        <f>18.4/150*C162</f>
        <v>18.399999999999999</v>
      </c>
      <c r="K162" s="7">
        <f>0.09/150*C162</f>
        <v>0.09</v>
      </c>
      <c r="L162" s="13">
        <v>0</v>
      </c>
      <c r="M162" s="7">
        <f>53.8/150*C162</f>
        <v>53.8</v>
      </c>
      <c r="N162" s="7">
        <f>12/150*C162</f>
        <v>12</v>
      </c>
      <c r="O162" s="7">
        <f>7.2/150*C162</f>
        <v>7.2</v>
      </c>
      <c r="P162" s="7">
        <f>41/150*C162</f>
        <v>41</v>
      </c>
      <c r="Q162" s="7">
        <f>0.73/150*C162</f>
        <v>0.73</v>
      </c>
      <c r="R162" s="7">
        <f>21/150*C162</f>
        <v>21.000000000000004</v>
      </c>
      <c r="S162" s="128">
        <f>0.06/150*C162</f>
        <v>0.06</v>
      </c>
      <c r="T162" s="7">
        <f>15/150*C162</f>
        <v>15</v>
      </c>
    </row>
    <row r="163" spans="1:20" ht="15" customHeight="1" x14ac:dyDescent="0.25">
      <c r="A163" s="14" t="s">
        <v>146</v>
      </c>
      <c r="B163" s="35" t="s">
        <v>59</v>
      </c>
      <c r="C163" s="6">
        <v>75</v>
      </c>
      <c r="D163" s="7">
        <v>8.5</v>
      </c>
      <c r="E163" s="7">
        <v>12</v>
      </c>
      <c r="F163" s="7">
        <v>0.36</v>
      </c>
      <c r="G163" s="7">
        <f>221.3/80*C163</f>
        <v>207.46875000000003</v>
      </c>
      <c r="H163" s="125">
        <f>0.05/80*C163</f>
        <v>4.6875E-2</v>
      </c>
      <c r="I163" s="125">
        <f>0.12/80*C163</f>
        <v>0.1125</v>
      </c>
      <c r="J163" s="125">
        <f>16.6/80*C163</f>
        <v>15.562500000000002</v>
      </c>
      <c r="K163" s="125">
        <f>0.07/80*C163</f>
        <v>6.5625000000000003E-2</v>
      </c>
      <c r="L163" s="125">
        <f>0.09/80*C163</f>
        <v>8.4374999999999992E-2</v>
      </c>
      <c r="M163" s="125">
        <f>221/80*C163</f>
        <v>207.1875</v>
      </c>
      <c r="N163" s="125">
        <f>30/80*C163</f>
        <v>28.125</v>
      </c>
      <c r="O163" s="125">
        <f>20/80*C163</f>
        <v>18.75</v>
      </c>
      <c r="P163" s="125">
        <f>138/80*C163</f>
        <v>129.375</v>
      </c>
      <c r="Q163" s="125">
        <f>1.94/80*C163</f>
        <v>1.8187500000000001</v>
      </c>
      <c r="R163" s="125">
        <f>15/80*C163</f>
        <v>14.0625</v>
      </c>
      <c r="S163" s="170">
        <f>2.95/80*C163</f>
        <v>2.7656250000000004</v>
      </c>
      <c r="T163" s="7">
        <f>46/80*C163</f>
        <v>43.125</v>
      </c>
    </row>
    <row r="164" spans="1:20" ht="15" customHeight="1" x14ac:dyDescent="0.25">
      <c r="A164" s="270" t="s">
        <v>131</v>
      </c>
      <c r="B164" s="5" t="s">
        <v>41</v>
      </c>
      <c r="C164" s="41">
        <v>20</v>
      </c>
      <c r="D164" s="42">
        <f>0.54/30*C164</f>
        <v>0.36000000000000004</v>
      </c>
      <c r="E164" s="42">
        <f>3.67/30*C164</f>
        <v>2.4466666666666668</v>
      </c>
      <c r="F164" s="42">
        <f>5.24/30*C164</f>
        <v>3.4933333333333332</v>
      </c>
      <c r="G164" s="25">
        <f>56.16/30*C164</f>
        <v>37.44</v>
      </c>
      <c r="H164" s="25">
        <f>0.01/30*C164</f>
        <v>6.6666666666666662E-3</v>
      </c>
      <c r="I164" s="25">
        <v>0</v>
      </c>
      <c r="J164" s="25">
        <v>0</v>
      </c>
      <c r="K164" s="25">
        <f>0.23/30*C164</f>
        <v>0.15333333333333335</v>
      </c>
      <c r="L164" s="25">
        <f>1.68/30*C164</f>
        <v>1.1200000000000001</v>
      </c>
      <c r="M164" s="25">
        <f>2/30*C164</f>
        <v>1.3333333333333333</v>
      </c>
      <c r="N164" s="25">
        <f>5/30*C164</f>
        <v>3.333333333333333</v>
      </c>
      <c r="O164" s="25">
        <v>0</v>
      </c>
      <c r="P164" s="25">
        <f>23.6/30*C164</f>
        <v>15.733333333333334</v>
      </c>
      <c r="Q164" s="25">
        <v>0</v>
      </c>
      <c r="R164" s="25">
        <f>0.01/30*C164</f>
        <v>6.6666666666666662E-3</v>
      </c>
      <c r="S164" s="25">
        <v>0</v>
      </c>
      <c r="T164" s="25">
        <f>0.04/30*C164</f>
        <v>2.6666666666666665E-2</v>
      </c>
    </row>
    <row r="165" spans="1:20" ht="15" customHeight="1" x14ac:dyDescent="0.25">
      <c r="A165" s="8" t="s">
        <v>140</v>
      </c>
      <c r="B165" s="32" t="s">
        <v>20</v>
      </c>
      <c r="C165" s="9">
        <v>200</v>
      </c>
      <c r="D165" s="10">
        <v>0.2</v>
      </c>
      <c r="E165" s="10">
        <v>0</v>
      </c>
      <c r="F165" s="10">
        <v>6.5</v>
      </c>
      <c r="G165" s="10">
        <v>26.8</v>
      </c>
      <c r="H165" s="60">
        <v>0</v>
      </c>
      <c r="I165" s="60">
        <v>0.01</v>
      </c>
      <c r="J165" s="60">
        <v>0.3</v>
      </c>
      <c r="K165" s="60">
        <v>0</v>
      </c>
      <c r="L165" s="60">
        <v>0.04</v>
      </c>
      <c r="M165" s="38">
        <v>20.8</v>
      </c>
      <c r="N165" s="39">
        <v>4.5</v>
      </c>
      <c r="O165" s="39">
        <v>3.8</v>
      </c>
      <c r="P165" s="39">
        <v>7.2</v>
      </c>
      <c r="Q165" s="39">
        <v>0.73</v>
      </c>
      <c r="R165" s="39">
        <v>0</v>
      </c>
      <c r="S165" s="175">
        <v>0</v>
      </c>
      <c r="T165" s="12">
        <v>0</v>
      </c>
    </row>
    <row r="166" spans="1:20" ht="15" customHeight="1" x14ac:dyDescent="0.25">
      <c r="A166" s="270" t="s">
        <v>124</v>
      </c>
      <c r="B166" s="35" t="s">
        <v>23</v>
      </c>
      <c r="C166" s="6">
        <v>50</v>
      </c>
      <c r="D166" s="10">
        <f>1.5/25*C166</f>
        <v>3</v>
      </c>
      <c r="E166" s="10">
        <f>0.5/25*C166</f>
        <v>1</v>
      </c>
      <c r="F166" s="10">
        <v>9.4</v>
      </c>
      <c r="G166" s="10">
        <f>52/25*C166</f>
        <v>104</v>
      </c>
      <c r="H166" s="10">
        <f>0.1/25*C166</f>
        <v>0.2</v>
      </c>
      <c r="I166" s="10">
        <f>0.08/25*C166</f>
        <v>0.16</v>
      </c>
      <c r="J166" s="10">
        <v>0</v>
      </c>
      <c r="K166" s="10">
        <v>0</v>
      </c>
      <c r="L166" s="10">
        <f>0.1/25*C166</f>
        <v>0.2</v>
      </c>
      <c r="M166" s="10">
        <f>41.5/25*C166</f>
        <v>83</v>
      </c>
      <c r="N166" s="10">
        <f>19.75/25*C166</f>
        <v>39.5</v>
      </c>
      <c r="O166" s="10">
        <f>10/25*C166</f>
        <v>20</v>
      </c>
      <c r="P166" s="10">
        <f>31.25/25*C166</f>
        <v>62.5</v>
      </c>
      <c r="Q166" s="10">
        <f>10/25*C166</f>
        <v>20</v>
      </c>
      <c r="R166" s="10">
        <f>0.7/25*C166</f>
        <v>1.4</v>
      </c>
      <c r="S166" s="172">
        <f>7.73/25*C166</f>
        <v>15.46</v>
      </c>
      <c r="T166" s="10">
        <f>12.75/25*C166</f>
        <v>25.5</v>
      </c>
    </row>
    <row r="167" spans="1:20" ht="15" customHeight="1" x14ac:dyDescent="0.25">
      <c r="A167" s="270" t="s">
        <v>124</v>
      </c>
      <c r="B167" s="32" t="s">
        <v>24</v>
      </c>
      <c r="C167" s="16">
        <v>30</v>
      </c>
      <c r="D167" s="25">
        <f>3.4/45*C167</f>
        <v>2.2666666666666666</v>
      </c>
      <c r="E167" s="25">
        <f>0.4/45*C167</f>
        <v>0.26666666666666666</v>
      </c>
      <c r="F167" s="25">
        <f>22.1/45*C167</f>
        <v>14.733333333333334</v>
      </c>
      <c r="G167" s="25">
        <f>105.8/45*C167</f>
        <v>70.533333333333331</v>
      </c>
      <c r="H167" s="25">
        <f>0.05/45*C167</f>
        <v>3.3333333333333333E-2</v>
      </c>
      <c r="I167" s="25">
        <f>0.01/45*C167</f>
        <v>6.6666666666666671E-3</v>
      </c>
      <c r="J167" s="25">
        <v>0</v>
      </c>
      <c r="K167" s="25">
        <v>0</v>
      </c>
      <c r="L167" s="25">
        <v>0</v>
      </c>
      <c r="M167" s="25">
        <f>46.5/45*C167</f>
        <v>31.000000000000004</v>
      </c>
      <c r="N167" s="27">
        <f>10/45*C167</f>
        <v>6.6666666666666661</v>
      </c>
      <c r="O167" s="27">
        <f>7/45*C167</f>
        <v>4.666666666666667</v>
      </c>
      <c r="P167" s="27">
        <f>32.5/45*C167</f>
        <v>21.666666666666668</v>
      </c>
      <c r="Q167" s="27">
        <f>1.6/45*C167</f>
        <v>1.0666666666666667</v>
      </c>
      <c r="R167" s="27">
        <f>0.55/45*C167</f>
        <v>0.3666666666666667</v>
      </c>
      <c r="S167" s="166">
        <f>3/45*C167</f>
        <v>2</v>
      </c>
      <c r="T167" s="27">
        <f>7.5/45*C167</f>
        <v>5</v>
      </c>
    </row>
    <row r="168" spans="1:20" ht="15" customHeight="1" x14ac:dyDescent="0.25">
      <c r="A168" s="270"/>
      <c r="B168" s="270"/>
      <c r="C168" s="26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10"/>
      <c r="O168" s="10"/>
      <c r="P168" s="10"/>
      <c r="Q168" s="10"/>
      <c r="R168" s="10"/>
      <c r="S168" s="172"/>
      <c r="T168" s="10"/>
    </row>
    <row r="169" spans="1:20" ht="15" customHeight="1" x14ac:dyDescent="0.25">
      <c r="A169" s="65"/>
      <c r="B169" s="26" t="s">
        <v>29</v>
      </c>
      <c r="C169" s="26">
        <f t="shared" ref="C169:T169" si="21">SUM(C160:C168)</f>
        <v>765</v>
      </c>
      <c r="D169" s="43">
        <f t="shared" si="21"/>
        <v>25.936666666666664</v>
      </c>
      <c r="E169" s="43">
        <f t="shared" si="21"/>
        <v>27.463333333333331</v>
      </c>
      <c r="F169" s="44">
        <f t="shared" si="21"/>
        <v>114.48666666666668</v>
      </c>
      <c r="G169" s="202">
        <f t="shared" si="21"/>
        <v>783.64208333333318</v>
      </c>
      <c r="H169" s="43">
        <f t="shared" si="21"/>
        <v>0.89787500000000009</v>
      </c>
      <c r="I169" s="43">
        <f t="shared" si="21"/>
        <v>0.77116666666666678</v>
      </c>
      <c r="J169" s="44">
        <f t="shared" si="21"/>
        <v>564.0625</v>
      </c>
      <c r="K169" s="43">
        <f t="shared" si="21"/>
        <v>0.87595833333333328</v>
      </c>
      <c r="L169" s="43">
        <f t="shared" si="21"/>
        <v>46.234375</v>
      </c>
      <c r="M169" s="202">
        <f t="shared" si="21"/>
        <v>509.12083333333334</v>
      </c>
      <c r="N169" s="44">
        <f t="shared" si="21"/>
        <v>252.125</v>
      </c>
      <c r="O169" s="44">
        <f t="shared" si="21"/>
        <v>258.11666666666667</v>
      </c>
      <c r="P169" s="202">
        <f t="shared" si="21"/>
        <v>955.875</v>
      </c>
      <c r="Q169" s="202">
        <f t="shared" si="21"/>
        <v>29.925416666666667</v>
      </c>
      <c r="R169" s="44">
        <f t="shared" si="21"/>
        <v>406.73583333333329</v>
      </c>
      <c r="S169" s="203">
        <f t="shared" si="21"/>
        <v>48.815624999999997</v>
      </c>
      <c r="T169" s="202">
        <f t="shared" si="21"/>
        <v>250.75166666666667</v>
      </c>
    </row>
    <row r="170" spans="1:20" ht="15" customHeight="1" x14ac:dyDescent="0.25">
      <c r="A170" s="291" t="s">
        <v>30</v>
      </c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319"/>
    </row>
    <row r="171" spans="1:20" ht="15" customHeight="1" x14ac:dyDescent="0.25">
      <c r="A171" s="270">
        <v>256</v>
      </c>
      <c r="B171" s="5" t="s">
        <v>197</v>
      </c>
      <c r="C171" s="26">
        <v>100</v>
      </c>
      <c r="D171" s="21">
        <v>5.17</v>
      </c>
      <c r="E171" s="21">
        <f>2.4/60*C171</f>
        <v>4</v>
      </c>
      <c r="F171" s="21">
        <v>30.7</v>
      </c>
      <c r="G171" s="21">
        <f>143.9/60*C171</f>
        <v>239.83333333333334</v>
      </c>
      <c r="H171" s="21">
        <f>0.18/60*C171</f>
        <v>0.3</v>
      </c>
      <c r="I171" s="21">
        <f>0.24/60*C171</f>
        <v>0.4</v>
      </c>
      <c r="J171" s="21">
        <f>42/60*C171</f>
        <v>70</v>
      </c>
      <c r="K171" s="21">
        <f>0.24/60*C171</f>
        <v>0.4</v>
      </c>
      <c r="L171" s="21">
        <f>0.01/60*C171</f>
        <v>1.6666666666666666E-2</v>
      </c>
      <c r="M171" s="21">
        <f>57/60*C171</f>
        <v>95</v>
      </c>
      <c r="N171" s="21">
        <f>20.64/60*C171</f>
        <v>34.400000000000006</v>
      </c>
      <c r="O171" s="21">
        <f>6.54/60*C171</f>
        <v>10.9</v>
      </c>
      <c r="P171" s="21">
        <f>54.54/60*C171</f>
        <v>90.9</v>
      </c>
      <c r="Q171" s="21">
        <f>2.94/60*C171</f>
        <v>4.9000000000000004</v>
      </c>
      <c r="R171" s="21">
        <f>0.72/60*C171</f>
        <v>1.2</v>
      </c>
      <c r="S171" s="89">
        <f>1.86/60*C171</f>
        <v>3.1000000000000005</v>
      </c>
      <c r="T171" s="21">
        <f>13.44/60*C171</f>
        <v>22.400000000000002</v>
      </c>
    </row>
    <row r="172" spans="1:20" ht="15" customHeight="1" x14ac:dyDescent="0.25">
      <c r="A172" s="8" t="s">
        <v>150</v>
      </c>
      <c r="B172" s="32" t="s">
        <v>36</v>
      </c>
      <c r="C172" s="9">
        <v>200</v>
      </c>
      <c r="D172" s="10">
        <f>3.8/200*C172</f>
        <v>3.8</v>
      </c>
      <c r="E172" s="10">
        <f>2.9/200*C172</f>
        <v>2.9</v>
      </c>
      <c r="F172" s="10">
        <f>11.3/200*C172</f>
        <v>11.3</v>
      </c>
      <c r="G172" s="10">
        <f>86/200*C172</f>
        <v>86</v>
      </c>
      <c r="H172" s="10">
        <f>0.03/200*C172</f>
        <v>0.03</v>
      </c>
      <c r="I172" s="10">
        <f>0.13/200*C172</f>
        <v>0.13</v>
      </c>
      <c r="J172" s="10">
        <f>13.3/200*C172</f>
        <v>13.3</v>
      </c>
      <c r="K172" s="10">
        <v>0</v>
      </c>
      <c r="L172" s="10">
        <f>0.52/200*C172</f>
        <v>0.52</v>
      </c>
      <c r="M172" s="11">
        <f>184/200*C172</f>
        <v>184</v>
      </c>
      <c r="N172" s="12">
        <f>111/200*C172</f>
        <v>111.00000000000001</v>
      </c>
      <c r="O172" s="12">
        <f>31/200*C172</f>
        <v>31</v>
      </c>
      <c r="P172" s="12">
        <f>107/200*C172</f>
        <v>107</v>
      </c>
      <c r="Q172" s="12">
        <f>1.07/200*C172</f>
        <v>1.07</v>
      </c>
      <c r="R172" s="12">
        <f>9/200*C172</f>
        <v>9</v>
      </c>
      <c r="S172" s="157">
        <f>1.76/200*C172</f>
        <v>1.76</v>
      </c>
      <c r="T172" s="12">
        <f>20/200*C172</f>
        <v>20</v>
      </c>
    </row>
    <row r="173" spans="1:20" ht="15" customHeight="1" x14ac:dyDescent="0.25">
      <c r="A173" s="65"/>
      <c r="B173" s="26"/>
      <c r="C173" s="26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89"/>
      <c r="T173" s="21"/>
    </row>
    <row r="174" spans="1:20" ht="15" customHeight="1" x14ac:dyDescent="0.25">
      <c r="A174" s="65"/>
      <c r="B174" s="26" t="s">
        <v>32</v>
      </c>
      <c r="C174" s="26">
        <f t="shared" ref="C174:T174" si="22">SUM(C171:C173)</f>
        <v>300</v>
      </c>
      <c r="D174" s="43">
        <f t="shared" si="22"/>
        <v>8.9699999999999989</v>
      </c>
      <c r="E174" s="43">
        <f t="shared" si="22"/>
        <v>6.9</v>
      </c>
      <c r="F174" s="43">
        <f t="shared" si="22"/>
        <v>42</v>
      </c>
      <c r="G174" s="44">
        <f t="shared" si="22"/>
        <v>325.83333333333337</v>
      </c>
      <c r="H174" s="43">
        <f t="shared" si="22"/>
        <v>0.32999999999999996</v>
      </c>
      <c r="I174" s="43">
        <f t="shared" si="22"/>
        <v>0.53</v>
      </c>
      <c r="J174" s="43">
        <f t="shared" si="22"/>
        <v>83.3</v>
      </c>
      <c r="K174" s="43">
        <f t="shared" si="22"/>
        <v>0.4</v>
      </c>
      <c r="L174" s="43">
        <f t="shared" si="22"/>
        <v>0.53666666666666674</v>
      </c>
      <c r="M174" s="44">
        <f t="shared" si="22"/>
        <v>279</v>
      </c>
      <c r="N174" s="44">
        <f t="shared" si="22"/>
        <v>145.40000000000003</v>
      </c>
      <c r="O174" s="43">
        <f t="shared" si="22"/>
        <v>41.9</v>
      </c>
      <c r="P174" s="44">
        <f t="shared" si="22"/>
        <v>197.9</v>
      </c>
      <c r="Q174" s="44">
        <f t="shared" si="22"/>
        <v>5.9700000000000006</v>
      </c>
      <c r="R174" s="43">
        <f t="shared" si="22"/>
        <v>10.199999999999999</v>
      </c>
      <c r="S174" s="168">
        <f t="shared" si="22"/>
        <v>4.8600000000000003</v>
      </c>
      <c r="T174" s="43">
        <f t="shared" si="22"/>
        <v>42.400000000000006</v>
      </c>
    </row>
    <row r="175" spans="1:20" ht="15" customHeight="1" x14ac:dyDescent="0.25">
      <c r="A175" s="4"/>
      <c r="B175" s="28" t="s">
        <v>33</v>
      </c>
      <c r="C175" s="28">
        <f>C174+C169+C158</f>
        <v>1600</v>
      </c>
      <c r="D175" s="54">
        <f t="shared" ref="D175:T175" si="23">D174+D169+D158</f>
        <v>54.056666666666665</v>
      </c>
      <c r="E175" s="28">
        <f t="shared" si="23"/>
        <v>50.513333333333328</v>
      </c>
      <c r="F175" s="28">
        <f t="shared" si="23"/>
        <v>225.48666666666668</v>
      </c>
      <c r="G175" s="28">
        <f t="shared" si="23"/>
        <v>1632.5004166666668</v>
      </c>
      <c r="H175" s="28">
        <f t="shared" si="23"/>
        <v>2.4028750000000003</v>
      </c>
      <c r="I175" s="28">
        <f t="shared" si="23"/>
        <v>1.7611666666666668</v>
      </c>
      <c r="J175" s="28">
        <f t="shared" si="23"/>
        <v>737.66249999999991</v>
      </c>
      <c r="K175" s="28">
        <f t="shared" si="23"/>
        <v>1.5134583333333333</v>
      </c>
      <c r="L175" s="28">
        <f t="shared" si="23"/>
        <v>48.323541666666671</v>
      </c>
      <c r="M175" s="28">
        <f t="shared" si="23"/>
        <v>1305.3708333333334</v>
      </c>
      <c r="N175" s="28">
        <f t="shared" si="23"/>
        <v>847.27500000000009</v>
      </c>
      <c r="O175" s="28">
        <f t="shared" si="23"/>
        <v>390.06666666666666</v>
      </c>
      <c r="P175" s="28">
        <f t="shared" si="23"/>
        <v>1577.5250000000001</v>
      </c>
      <c r="Q175" s="28">
        <f t="shared" si="23"/>
        <v>49.397916666666667</v>
      </c>
      <c r="R175" s="28">
        <f t="shared" si="23"/>
        <v>492.68583333333328</v>
      </c>
      <c r="S175" s="51">
        <f t="shared" si="23"/>
        <v>73.988124999999997</v>
      </c>
      <c r="T175" s="28">
        <f t="shared" si="23"/>
        <v>390.15166666666664</v>
      </c>
    </row>
    <row r="176" spans="1:20" ht="15" customHeight="1" x14ac:dyDescent="0.25">
      <c r="A176" s="304" t="s">
        <v>56</v>
      </c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307"/>
    </row>
    <row r="177" spans="1:20" ht="15" customHeight="1" x14ac:dyDescent="0.25">
      <c r="A177" s="293" t="s">
        <v>35</v>
      </c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307"/>
    </row>
    <row r="178" spans="1:20" ht="15" customHeight="1" x14ac:dyDescent="0.25">
      <c r="A178" s="285" t="s">
        <v>18</v>
      </c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308"/>
    </row>
    <row r="179" spans="1:20" ht="15" customHeight="1" x14ac:dyDescent="0.25">
      <c r="A179" s="287" t="s">
        <v>19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311"/>
    </row>
    <row r="180" spans="1:20" ht="15" customHeight="1" x14ac:dyDescent="0.25">
      <c r="A180" s="270">
        <v>98</v>
      </c>
      <c r="B180" s="5" t="s">
        <v>89</v>
      </c>
      <c r="C180" s="26">
        <v>200</v>
      </c>
      <c r="D180" s="21">
        <f>3.6/200*C180</f>
        <v>3.6000000000000005</v>
      </c>
      <c r="E180" s="21">
        <f>0.7/200*C180</f>
        <v>0.7</v>
      </c>
      <c r="F180" s="21">
        <f>21.8/200*C180</f>
        <v>21.8</v>
      </c>
      <c r="G180" s="21">
        <f>106/200*C180</f>
        <v>106</v>
      </c>
      <c r="H180" s="21">
        <f>0.3/200*C180</f>
        <v>0.3</v>
      </c>
      <c r="I180" s="21">
        <f>0.1/200*C180</f>
        <v>0.1</v>
      </c>
      <c r="J180" s="21">
        <v>0</v>
      </c>
      <c r="K180" s="21">
        <v>0</v>
      </c>
      <c r="L180" s="7">
        <v>0</v>
      </c>
      <c r="M180" s="7">
        <f>46/200*C180</f>
        <v>46</v>
      </c>
      <c r="N180" s="7">
        <f>194/200*C180</f>
        <v>194</v>
      </c>
      <c r="O180" s="7">
        <f>14/200*C180</f>
        <v>14.000000000000002</v>
      </c>
      <c r="P180" s="7">
        <v>0</v>
      </c>
      <c r="Q180" s="7">
        <v>0</v>
      </c>
      <c r="R180" s="221">
        <f>10.72/200*C180</f>
        <v>10.72</v>
      </c>
      <c r="S180" s="128">
        <f>6/200*C180</f>
        <v>6</v>
      </c>
      <c r="T180" s="7">
        <f>101.4/200*C180</f>
        <v>101.4</v>
      </c>
    </row>
    <row r="181" spans="1:20" ht="15" customHeight="1" x14ac:dyDescent="0.25">
      <c r="A181" s="8" t="s">
        <v>140</v>
      </c>
      <c r="B181" s="32" t="s">
        <v>20</v>
      </c>
      <c r="C181" s="9">
        <v>200</v>
      </c>
      <c r="D181" s="10">
        <v>0.2</v>
      </c>
      <c r="E181" s="10">
        <v>0</v>
      </c>
      <c r="F181" s="10">
        <v>6.5</v>
      </c>
      <c r="G181" s="10">
        <v>26.8</v>
      </c>
      <c r="H181" s="60">
        <v>0</v>
      </c>
      <c r="I181" s="60">
        <v>0.01</v>
      </c>
      <c r="J181" s="60">
        <v>0.3</v>
      </c>
      <c r="K181" s="60">
        <v>0</v>
      </c>
      <c r="L181" s="60">
        <v>0.04</v>
      </c>
      <c r="M181" s="38">
        <v>20.8</v>
      </c>
      <c r="N181" s="39">
        <v>4.5</v>
      </c>
      <c r="O181" s="39">
        <v>3.8</v>
      </c>
      <c r="P181" s="39">
        <v>7.2</v>
      </c>
      <c r="Q181" s="39">
        <v>0.73</v>
      </c>
      <c r="R181" s="39">
        <v>0</v>
      </c>
      <c r="S181" s="175">
        <v>0</v>
      </c>
      <c r="T181" s="12">
        <v>0</v>
      </c>
    </row>
    <row r="182" spans="1:20" ht="15" customHeight="1" x14ac:dyDescent="0.25">
      <c r="A182" s="4" t="s">
        <v>191</v>
      </c>
      <c r="B182" s="35" t="s">
        <v>21</v>
      </c>
      <c r="C182" s="6">
        <v>10</v>
      </c>
      <c r="D182" s="61">
        <f>10/10*C182</f>
        <v>10</v>
      </c>
      <c r="E182" s="61">
        <f>0.1/10*C182</f>
        <v>0.1</v>
      </c>
      <c r="F182" s="61">
        <f>7.2/10*C182</f>
        <v>7.1999999999999993</v>
      </c>
      <c r="G182" s="61">
        <v>10</v>
      </c>
      <c r="H182" s="61">
        <f>66.1/10*C182</f>
        <v>66.099999999999994</v>
      </c>
      <c r="I182" s="140">
        <f>0.01/10*C182</f>
        <v>0.01</v>
      </c>
      <c r="J182" s="61">
        <f>45/10*C182</f>
        <v>45</v>
      </c>
      <c r="K182" s="61">
        <f>0.13/10*C182</f>
        <v>0.13</v>
      </c>
      <c r="L182" s="61">
        <v>0</v>
      </c>
      <c r="M182" s="61">
        <f>3/10*C182</f>
        <v>3</v>
      </c>
      <c r="N182" s="61">
        <f>2.4/10*C182</f>
        <v>2.4</v>
      </c>
      <c r="O182" s="61">
        <v>0</v>
      </c>
      <c r="P182" s="61">
        <f>3/10*C182</f>
        <v>3</v>
      </c>
      <c r="Q182" s="61">
        <f>0.02/10*C182</f>
        <v>0.02</v>
      </c>
      <c r="R182" s="61">
        <v>0</v>
      </c>
      <c r="S182" s="133">
        <f>0.1/10*C182</f>
        <v>0.1</v>
      </c>
      <c r="T182" s="61">
        <f>0.3/10*C182</f>
        <v>0.3</v>
      </c>
    </row>
    <row r="183" spans="1:20" ht="15" customHeight="1" x14ac:dyDescent="0.25">
      <c r="A183" s="14" t="s">
        <v>124</v>
      </c>
      <c r="B183" s="35" t="s">
        <v>23</v>
      </c>
      <c r="C183" s="6">
        <v>30</v>
      </c>
      <c r="D183" s="10">
        <f>1.5/25*C183</f>
        <v>1.7999999999999998</v>
      </c>
      <c r="E183" s="10">
        <f>0.5/25*C183</f>
        <v>0.6</v>
      </c>
      <c r="F183" s="10">
        <f>10.2/25*C183</f>
        <v>12.239999999999998</v>
      </c>
      <c r="G183" s="10">
        <f>52/25*C183</f>
        <v>62.400000000000006</v>
      </c>
      <c r="H183" s="10">
        <f>0.1/25*C183</f>
        <v>0.12</v>
      </c>
      <c r="I183" s="10">
        <f>0.08/25*C183</f>
        <v>9.6000000000000002E-2</v>
      </c>
      <c r="J183" s="10">
        <v>0</v>
      </c>
      <c r="K183" s="10">
        <v>0</v>
      </c>
      <c r="L183" s="10">
        <f>0.1/25*C183</f>
        <v>0.12</v>
      </c>
      <c r="M183" s="10">
        <f>41.5/25*C183</f>
        <v>49.8</v>
      </c>
      <c r="N183" s="10">
        <f>19.75/25*C183</f>
        <v>23.700000000000003</v>
      </c>
      <c r="O183" s="10">
        <f>10/25*C183</f>
        <v>12</v>
      </c>
      <c r="P183" s="10">
        <f>31.25/25*C183</f>
        <v>37.5</v>
      </c>
      <c r="Q183" s="10">
        <f>10/25*C183</f>
        <v>12</v>
      </c>
      <c r="R183" s="10">
        <f>0.7/25*C183</f>
        <v>0.83999999999999986</v>
      </c>
      <c r="S183" s="172">
        <f>7.73/25*C183</f>
        <v>9.2760000000000016</v>
      </c>
      <c r="T183" s="10">
        <f>12.75/25*C183</f>
        <v>15.3</v>
      </c>
    </row>
    <row r="184" spans="1:20" ht="15" customHeight="1" x14ac:dyDescent="0.25">
      <c r="A184" s="15" t="s">
        <v>124</v>
      </c>
      <c r="B184" s="32" t="s">
        <v>24</v>
      </c>
      <c r="C184" s="16">
        <v>45</v>
      </c>
      <c r="D184" s="25">
        <v>1.3</v>
      </c>
      <c r="E184" s="25">
        <f>0.4/45*C184</f>
        <v>0.4</v>
      </c>
      <c r="F184" s="25">
        <f>22.1/45*C184</f>
        <v>22.1</v>
      </c>
      <c r="G184" s="25">
        <f>105.8/45*C184</f>
        <v>105.8</v>
      </c>
      <c r="H184" s="25">
        <f>0.05/45*C184</f>
        <v>0.05</v>
      </c>
      <c r="I184" s="25">
        <f>0.01/45*C184</f>
        <v>0.01</v>
      </c>
      <c r="J184" s="25">
        <v>0</v>
      </c>
      <c r="K184" s="25">
        <v>0</v>
      </c>
      <c r="L184" s="25">
        <v>0</v>
      </c>
      <c r="M184" s="25">
        <f>46.5/45*C184</f>
        <v>46.500000000000007</v>
      </c>
      <c r="N184" s="27">
        <f>10/45*C184</f>
        <v>10</v>
      </c>
      <c r="O184" s="27">
        <f>7/45*C184</f>
        <v>7</v>
      </c>
      <c r="P184" s="27">
        <f>32.5/45*C184</f>
        <v>32.5</v>
      </c>
      <c r="Q184" s="27">
        <f>1.6/45*C184</f>
        <v>1.6</v>
      </c>
      <c r="R184" s="27">
        <f>0.55/45*C184</f>
        <v>0.55000000000000004</v>
      </c>
      <c r="S184" s="166">
        <f>3/45*C184</f>
        <v>3</v>
      </c>
      <c r="T184" s="27">
        <f>7.5/45*C184</f>
        <v>7.5</v>
      </c>
    </row>
    <row r="185" spans="1:20" ht="15" customHeight="1" x14ac:dyDescent="0.25">
      <c r="A185" s="15" t="s">
        <v>124</v>
      </c>
      <c r="B185" s="32" t="s">
        <v>105</v>
      </c>
      <c r="C185" s="90">
        <v>100</v>
      </c>
      <c r="D185" s="61">
        <v>1.7</v>
      </c>
      <c r="E185" s="61">
        <v>15.5</v>
      </c>
      <c r="F185" s="61">
        <f>21.6/200*C185</f>
        <v>10.8</v>
      </c>
      <c r="G185" s="133">
        <v>197.2</v>
      </c>
      <c r="H185" s="61">
        <f>0.06/200*C185</f>
        <v>0.03</v>
      </c>
      <c r="I185" s="61">
        <f>0.26/200*C185</f>
        <v>0.13</v>
      </c>
      <c r="J185" s="61">
        <f>44/200*C185</f>
        <v>22</v>
      </c>
      <c r="K185" s="61">
        <f>0.06/200*C185</f>
        <v>0.03</v>
      </c>
      <c r="L185" s="61">
        <f>1.8/200*C185</f>
        <v>0.90000000000000013</v>
      </c>
      <c r="M185" s="61">
        <f>272/200*C185</f>
        <v>136</v>
      </c>
      <c r="N185" s="61">
        <f>242/200*C185</f>
        <v>121</v>
      </c>
      <c r="O185" s="61">
        <f>30/200*C185</f>
        <v>15</v>
      </c>
      <c r="P185" s="61">
        <v>0</v>
      </c>
      <c r="Q185" s="61">
        <f>18/200*C185</f>
        <v>9</v>
      </c>
      <c r="R185" s="61">
        <f>0.2/200*C185</f>
        <v>0.1</v>
      </c>
      <c r="S185" s="133">
        <f>4/200*C185</f>
        <v>2</v>
      </c>
      <c r="T185" s="61">
        <f>40/200*C185</f>
        <v>20</v>
      </c>
    </row>
    <row r="186" spans="1:20" ht="15" customHeight="1" x14ac:dyDescent="0.25">
      <c r="A186" s="4"/>
      <c r="B186" s="15"/>
      <c r="C186" s="16"/>
      <c r="D186" s="56"/>
      <c r="E186" s="56"/>
      <c r="F186" s="56"/>
      <c r="G186" s="56"/>
      <c r="H186" s="56"/>
      <c r="I186" s="56"/>
      <c r="J186" s="56"/>
      <c r="K186" s="56"/>
      <c r="L186" s="56"/>
      <c r="M186" s="7"/>
      <c r="N186" s="7"/>
      <c r="O186" s="7"/>
      <c r="P186" s="7"/>
      <c r="Q186" s="7"/>
      <c r="R186" s="7"/>
      <c r="S186" s="128"/>
      <c r="T186" s="7"/>
    </row>
    <row r="187" spans="1:20" ht="15" customHeight="1" x14ac:dyDescent="0.25">
      <c r="A187" s="4"/>
      <c r="B187" s="28" t="s">
        <v>37</v>
      </c>
      <c r="C187" s="28">
        <f t="shared" ref="C187:T187" si="24">SUM(C180:C186)</f>
        <v>585</v>
      </c>
      <c r="D187" s="54">
        <f t="shared" si="24"/>
        <v>18.600000000000001</v>
      </c>
      <c r="E187" s="54">
        <f t="shared" si="24"/>
        <v>17.3</v>
      </c>
      <c r="F187" s="54">
        <f t="shared" si="24"/>
        <v>80.64</v>
      </c>
      <c r="G187" s="55">
        <f t="shared" si="24"/>
        <v>508.2</v>
      </c>
      <c r="H187" s="54">
        <f t="shared" si="24"/>
        <v>66.599999999999994</v>
      </c>
      <c r="I187" s="54">
        <f t="shared" si="24"/>
        <v>0.35599999999999998</v>
      </c>
      <c r="J187" s="54">
        <f t="shared" si="24"/>
        <v>67.3</v>
      </c>
      <c r="K187" s="54">
        <f t="shared" si="24"/>
        <v>0.16</v>
      </c>
      <c r="L187" s="54">
        <f t="shared" si="24"/>
        <v>1.06</v>
      </c>
      <c r="M187" s="55">
        <f t="shared" si="24"/>
        <v>302.10000000000002</v>
      </c>
      <c r="N187" s="55">
        <f t="shared" si="24"/>
        <v>355.6</v>
      </c>
      <c r="O187" s="54">
        <f t="shared" si="24"/>
        <v>51.8</v>
      </c>
      <c r="P187" s="54">
        <f t="shared" si="24"/>
        <v>80.2</v>
      </c>
      <c r="Q187" s="54">
        <f t="shared" si="24"/>
        <v>23.35</v>
      </c>
      <c r="R187" s="54">
        <f t="shared" si="24"/>
        <v>12.21</v>
      </c>
      <c r="S187" s="159">
        <f t="shared" si="24"/>
        <v>20.376000000000001</v>
      </c>
      <c r="T187" s="55">
        <f t="shared" si="24"/>
        <v>144.5</v>
      </c>
    </row>
    <row r="188" spans="1:20" ht="15" customHeight="1" x14ac:dyDescent="0.25">
      <c r="A188" s="289" t="s">
        <v>26</v>
      </c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318"/>
    </row>
    <row r="189" spans="1:20" ht="15" customHeight="1" x14ac:dyDescent="0.25">
      <c r="A189" s="8" t="s">
        <v>160</v>
      </c>
      <c r="B189" s="32" t="s">
        <v>74</v>
      </c>
      <c r="C189" s="9">
        <v>70</v>
      </c>
      <c r="D189" s="10">
        <f>0.6/60*C189</f>
        <v>0.70000000000000007</v>
      </c>
      <c r="E189" s="10">
        <f>5.3/60*C189</f>
        <v>6.1833333333333336</v>
      </c>
      <c r="F189" s="10">
        <f>4.1/60*C189</f>
        <v>4.7833333333333332</v>
      </c>
      <c r="G189" s="10">
        <f>67.1/60*C189</f>
        <v>78.283333333333317</v>
      </c>
      <c r="H189" s="222">
        <f>0.01/60*C189</f>
        <v>1.1666666666666665E-2</v>
      </c>
      <c r="I189" s="222">
        <f>0.01/60*C189</f>
        <v>1.1666666666666665E-2</v>
      </c>
      <c r="J189" s="222">
        <f>72.9/60*C189</f>
        <v>85.050000000000011</v>
      </c>
      <c r="K189" s="222">
        <v>0</v>
      </c>
      <c r="L189" s="222">
        <f>2.26/60*C189</f>
        <v>2.6366666666666663</v>
      </c>
      <c r="M189" s="222">
        <f>128/60*C189</f>
        <v>149.33333333333334</v>
      </c>
      <c r="N189" s="222">
        <f>12/60*C189</f>
        <v>14</v>
      </c>
      <c r="O189" s="222">
        <f>9.7/60*C189</f>
        <v>11.316666666666666</v>
      </c>
      <c r="P189" s="222">
        <f>21/60*C189</f>
        <v>24.5</v>
      </c>
      <c r="Q189" s="222">
        <f>0.4/60*C189</f>
        <v>0.46666666666666667</v>
      </c>
      <c r="R189" s="222">
        <f>7.9/60*C189</f>
        <v>9.2166666666666686</v>
      </c>
      <c r="S189" s="225">
        <f>0.14/60*C189</f>
        <v>0.16333333333333336</v>
      </c>
      <c r="T189" s="25">
        <f>12/60*C189</f>
        <v>14</v>
      </c>
    </row>
    <row r="190" spans="1:20" ht="15" customHeight="1" x14ac:dyDescent="0.25">
      <c r="A190" s="49" t="s">
        <v>161</v>
      </c>
      <c r="B190" s="5" t="s">
        <v>162</v>
      </c>
      <c r="C190" s="50">
        <v>200</v>
      </c>
      <c r="D190" s="21">
        <f>3.8/200*C190</f>
        <v>3.8</v>
      </c>
      <c r="E190" s="21">
        <f>1.8/200*C190</f>
        <v>1.8000000000000003</v>
      </c>
      <c r="F190" s="21">
        <f>9.2/200*C190</f>
        <v>9.1999999999999993</v>
      </c>
      <c r="G190" s="21">
        <f>66.4/200*C190</f>
        <v>66.400000000000006</v>
      </c>
      <c r="H190" s="21">
        <f>0.08/200*C190</f>
        <v>0.08</v>
      </c>
      <c r="I190" s="21">
        <f>0.16/200*C190</f>
        <v>0.16</v>
      </c>
      <c r="J190" s="21">
        <f>4.2/200*C190</f>
        <v>4.2</v>
      </c>
      <c r="K190" s="21">
        <v>0</v>
      </c>
      <c r="L190" s="21">
        <f>7.92/200*C190</f>
        <v>7.919999999999999</v>
      </c>
      <c r="M190" s="21">
        <f>505/200*C190</f>
        <v>505</v>
      </c>
      <c r="N190" s="21">
        <f>23/200*C190</f>
        <v>23</v>
      </c>
      <c r="O190" s="21">
        <f>22/200*C190</f>
        <v>22</v>
      </c>
      <c r="P190" s="21">
        <f>73.2/200*C190</f>
        <v>73.2</v>
      </c>
      <c r="Q190" s="21">
        <f>2.6/200*C190</f>
        <v>2.6</v>
      </c>
      <c r="R190" s="21">
        <f>1.02/200*C190</f>
        <v>1.02</v>
      </c>
      <c r="S190" s="89">
        <f>2.04/200*C190</f>
        <v>2.04</v>
      </c>
      <c r="T190" s="21">
        <v>0</v>
      </c>
    </row>
    <row r="191" spans="1:20" ht="15" customHeight="1" x14ac:dyDescent="0.25">
      <c r="A191" s="22" t="s">
        <v>163</v>
      </c>
      <c r="B191" s="32" t="s">
        <v>65</v>
      </c>
      <c r="C191" s="16">
        <v>150</v>
      </c>
      <c r="D191" s="11">
        <f>15.3/200*C191</f>
        <v>11.475</v>
      </c>
      <c r="E191" s="11">
        <f>14.7/200*C191</f>
        <v>11.024999999999999</v>
      </c>
      <c r="F191" s="11">
        <f>38.6/200*C191</f>
        <v>28.95</v>
      </c>
      <c r="G191" s="11">
        <f>348.3/200*C191</f>
        <v>261.22500000000002</v>
      </c>
      <c r="H191" s="11">
        <f>0.07/200*C191</f>
        <v>5.2500000000000005E-2</v>
      </c>
      <c r="I191" s="11">
        <f>0.12/200*C191</f>
        <v>0.09</v>
      </c>
      <c r="J191" s="11">
        <f>262/200*C191</f>
        <v>196.5</v>
      </c>
      <c r="K191" s="11">
        <f>0.1/200*C191</f>
        <v>7.4999999999999997E-2</v>
      </c>
      <c r="L191" s="11">
        <f>0.72/200*C191</f>
        <v>0.54</v>
      </c>
      <c r="M191" s="11">
        <f>267/200*C191</f>
        <v>200.25</v>
      </c>
      <c r="N191" s="12">
        <f>20/200*C191</f>
        <v>15</v>
      </c>
      <c r="O191" s="12">
        <f>44/200*C191</f>
        <v>33</v>
      </c>
      <c r="P191" s="12">
        <f>193/200*C191</f>
        <v>144.75</v>
      </c>
      <c r="Q191" s="12">
        <f>2.2/200*C191</f>
        <v>1.6500000000000001</v>
      </c>
      <c r="R191" s="12">
        <f>39/200*C191</f>
        <v>29.25</v>
      </c>
      <c r="S191" s="157">
        <f>7.36/200*C191</f>
        <v>5.52</v>
      </c>
      <c r="T191" s="12">
        <f>82/200*C191</f>
        <v>61.499999999999993</v>
      </c>
    </row>
    <row r="192" spans="1:20" ht="15" customHeight="1" x14ac:dyDescent="0.25">
      <c r="A192" s="270" t="s">
        <v>131</v>
      </c>
      <c r="B192" s="5" t="s">
        <v>41</v>
      </c>
      <c r="C192" s="41">
        <v>50</v>
      </c>
      <c r="D192" s="42">
        <f>0.54/30*C192</f>
        <v>0.90000000000000013</v>
      </c>
      <c r="E192" s="42">
        <f>3.67/30*C192</f>
        <v>6.1166666666666671</v>
      </c>
      <c r="F192" s="42">
        <f>5.24/30*C192</f>
        <v>8.7333333333333325</v>
      </c>
      <c r="G192" s="42">
        <f>56.16/30*C192</f>
        <v>93.6</v>
      </c>
      <c r="H192" s="42">
        <f>0.01/30*C192</f>
        <v>1.6666666666666666E-2</v>
      </c>
      <c r="I192" s="42">
        <v>0</v>
      </c>
      <c r="J192" s="42">
        <v>0</v>
      </c>
      <c r="K192" s="42">
        <f>0.23/30*C192</f>
        <v>0.38333333333333336</v>
      </c>
      <c r="L192" s="42">
        <f>1.68/30*C192</f>
        <v>2.8000000000000003</v>
      </c>
      <c r="M192" s="42">
        <f>2/30*C192</f>
        <v>3.3333333333333335</v>
      </c>
      <c r="N192" s="42">
        <f>5/30*C192</f>
        <v>8.3333333333333321</v>
      </c>
      <c r="O192" s="42">
        <v>0</v>
      </c>
      <c r="P192" s="42">
        <f>23.6/30*C192</f>
        <v>39.333333333333336</v>
      </c>
      <c r="Q192" s="42">
        <v>0</v>
      </c>
      <c r="R192" s="42">
        <f>0.01/30*C192</f>
        <v>1.6666666666666666E-2</v>
      </c>
      <c r="S192" s="165">
        <v>0</v>
      </c>
      <c r="T192" s="25">
        <f>0.04/30*C192</f>
        <v>6.6666666666666666E-2</v>
      </c>
    </row>
    <row r="193" spans="1:20" ht="15" customHeight="1" x14ac:dyDescent="0.25">
      <c r="A193" s="270" t="s">
        <v>147</v>
      </c>
      <c r="B193" s="5" t="s">
        <v>28</v>
      </c>
      <c r="C193" s="24">
        <v>200</v>
      </c>
      <c r="D193" s="25">
        <f>0.5/200*C193</f>
        <v>0.5</v>
      </c>
      <c r="E193" s="25">
        <v>0</v>
      </c>
      <c r="F193" s="25">
        <f>19.8/200*C193</f>
        <v>19.8</v>
      </c>
      <c r="G193" s="86">
        <f>81/200*C193</f>
        <v>81</v>
      </c>
      <c r="H193" s="126">
        <v>0</v>
      </c>
      <c r="I193" s="126">
        <v>0</v>
      </c>
      <c r="J193" s="126">
        <f>15/200*C193</f>
        <v>15</v>
      </c>
      <c r="K193" s="126">
        <v>0</v>
      </c>
      <c r="L193" s="126">
        <f>0.02/200*C193</f>
        <v>0.02</v>
      </c>
      <c r="M193" s="126">
        <f>0.17/200*C193</f>
        <v>0.17</v>
      </c>
      <c r="N193" s="126">
        <f>50/200*C193</f>
        <v>50</v>
      </c>
      <c r="O193" s="126">
        <f>2.1/200*C194</f>
        <v>0.63</v>
      </c>
      <c r="P193" s="126">
        <f>4.3/200*C193</f>
        <v>4.3</v>
      </c>
      <c r="Q193" s="126">
        <f>0.09/200*C193</f>
        <v>0.09</v>
      </c>
      <c r="R193" s="126">
        <v>0</v>
      </c>
      <c r="S193" s="233">
        <v>0</v>
      </c>
      <c r="T193" s="126">
        <v>0</v>
      </c>
    </row>
    <row r="194" spans="1:20" ht="15" customHeight="1" x14ac:dyDescent="0.25">
      <c r="A194" s="8" t="s">
        <v>124</v>
      </c>
      <c r="B194" s="35" t="s">
        <v>23</v>
      </c>
      <c r="C194" s="6">
        <v>60</v>
      </c>
      <c r="D194" s="10">
        <f>1.5/25*C194</f>
        <v>3.5999999999999996</v>
      </c>
      <c r="E194" s="10">
        <f>0.5/25*C194</f>
        <v>1.2</v>
      </c>
      <c r="F194" s="10">
        <f>10.2/25*C194</f>
        <v>24.479999999999997</v>
      </c>
      <c r="G194" s="10">
        <f>52/25*C194</f>
        <v>124.80000000000001</v>
      </c>
      <c r="H194" s="10">
        <f>0.1/25*C194</f>
        <v>0.24</v>
      </c>
      <c r="I194" s="10">
        <f>0.08/25*C194</f>
        <v>0.192</v>
      </c>
      <c r="J194" s="10">
        <v>0</v>
      </c>
      <c r="K194" s="10">
        <v>0</v>
      </c>
      <c r="L194" s="10">
        <f>0.1/25*C194</f>
        <v>0.24</v>
      </c>
      <c r="M194" s="10">
        <f>41.5/25*C194</f>
        <v>99.6</v>
      </c>
      <c r="N194" s="10">
        <f>19.75/25*C194</f>
        <v>47.400000000000006</v>
      </c>
      <c r="O194" s="10">
        <f>10/25*C194</f>
        <v>24</v>
      </c>
      <c r="P194" s="10">
        <f>31.25/25*C194</f>
        <v>75</v>
      </c>
      <c r="Q194" s="10">
        <f>10/25*C194</f>
        <v>24</v>
      </c>
      <c r="R194" s="10">
        <f>0.7/25*C194</f>
        <v>1.6799999999999997</v>
      </c>
      <c r="S194" s="172">
        <f>7.73/25*C194</f>
        <v>18.552000000000003</v>
      </c>
      <c r="T194" s="10">
        <f>12.75/25*C194</f>
        <v>30.6</v>
      </c>
    </row>
    <row r="195" spans="1:20" ht="15" customHeight="1" x14ac:dyDescent="0.25">
      <c r="A195" s="4" t="s">
        <v>124</v>
      </c>
      <c r="B195" s="32" t="s">
        <v>24</v>
      </c>
      <c r="C195" s="16">
        <v>30</v>
      </c>
      <c r="D195" s="25">
        <f>3.4/45*C195</f>
        <v>2.2666666666666666</v>
      </c>
      <c r="E195" s="25">
        <f>0.4/45*C195</f>
        <v>0.26666666666666666</v>
      </c>
      <c r="F195" s="25">
        <f>22.1/45*C195</f>
        <v>14.733333333333334</v>
      </c>
      <c r="G195" s="25">
        <f>105.8/45*C195</f>
        <v>70.533333333333331</v>
      </c>
      <c r="H195" s="25">
        <f>0.05/45*C195</f>
        <v>3.3333333333333333E-2</v>
      </c>
      <c r="I195" s="25">
        <f>0.01/45*C195</f>
        <v>6.6666666666666671E-3</v>
      </c>
      <c r="J195" s="25">
        <v>0</v>
      </c>
      <c r="K195" s="25">
        <v>0</v>
      </c>
      <c r="L195" s="25">
        <v>0</v>
      </c>
      <c r="M195" s="25">
        <f>46.5/45*C195</f>
        <v>31.000000000000004</v>
      </c>
      <c r="N195" s="27">
        <f>10/45*C195</f>
        <v>6.6666666666666661</v>
      </c>
      <c r="O195" s="27">
        <f>7/45*C195</f>
        <v>4.666666666666667</v>
      </c>
      <c r="P195" s="27">
        <f>32.5/45*C195</f>
        <v>21.666666666666668</v>
      </c>
      <c r="Q195" s="27">
        <f>1.6/45*C195</f>
        <v>1.0666666666666667</v>
      </c>
      <c r="R195" s="27">
        <f>0.55/45*C195</f>
        <v>0.3666666666666667</v>
      </c>
      <c r="S195" s="166">
        <f>3/45*C195</f>
        <v>2</v>
      </c>
      <c r="T195" s="27">
        <f>7.5/45*C195</f>
        <v>5</v>
      </c>
    </row>
    <row r="196" spans="1:20" ht="15" customHeight="1" x14ac:dyDescent="0.25">
      <c r="A196" s="4"/>
      <c r="B196" s="28"/>
      <c r="C196" s="28"/>
      <c r="D196" s="54"/>
      <c r="E196" s="54"/>
      <c r="F196" s="55"/>
      <c r="G196" s="55"/>
      <c r="H196" s="54"/>
      <c r="I196" s="54"/>
      <c r="J196" s="55"/>
      <c r="K196" s="55"/>
      <c r="L196" s="54"/>
      <c r="M196" s="66"/>
      <c r="N196" s="47"/>
      <c r="O196" s="47"/>
      <c r="P196" s="47"/>
      <c r="Q196" s="47"/>
      <c r="R196" s="47"/>
      <c r="S196" s="179"/>
      <c r="T196" s="47"/>
    </row>
    <row r="197" spans="1:20" ht="15" customHeight="1" x14ac:dyDescent="0.25">
      <c r="A197" s="4"/>
      <c r="B197" s="28" t="s">
        <v>29</v>
      </c>
      <c r="C197" s="28">
        <f t="shared" ref="C197:T197" si="25">SUM(C189:C196)</f>
        <v>760</v>
      </c>
      <c r="D197" s="54">
        <f t="shared" si="25"/>
        <v>23.241666666666667</v>
      </c>
      <c r="E197" s="54">
        <f t="shared" si="25"/>
        <v>26.591666666666665</v>
      </c>
      <c r="F197" s="55">
        <f t="shared" si="25"/>
        <v>110.67999999999999</v>
      </c>
      <c r="G197" s="55">
        <f t="shared" si="25"/>
        <v>775.8416666666667</v>
      </c>
      <c r="H197" s="54">
        <f t="shared" si="25"/>
        <v>0.43416666666666665</v>
      </c>
      <c r="I197" s="54">
        <f t="shared" si="25"/>
        <v>0.46033333333333332</v>
      </c>
      <c r="J197" s="55">
        <f t="shared" si="25"/>
        <v>300.75</v>
      </c>
      <c r="K197" s="55">
        <f t="shared" si="25"/>
        <v>0.45833333333333337</v>
      </c>
      <c r="L197" s="54">
        <f t="shared" si="25"/>
        <v>14.156666666666665</v>
      </c>
      <c r="M197" s="204">
        <f t="shared" si="25"/>
        <v>988.68666666666672</v>
      </c>
      <c r="N197" s="66">
        <f t="shared" si="25"/>
        <v>164.4</v>
      </c>
      <c r="O197" s="204">
        <f t="shared" si="25"/>
        <v>95.61333333333333</v>
      </c>
      <c r="P197" s="66">
        <f t="shared" si="25"/>
        <v>382.75</v>
      </c>
      <c r="Q197" s="66">
        <f t="shared" si="25"/>
        <v>29.873333333333331</v>
      </c>
      <c r="R197" s="47">
        <f t="shared" si="25"/>
        <v>41.55</v>
      </c>
      <c r="S197" s="179">
        <f t="shared" si="25"/>
        <v>28.275333333333336</v>
      </c>
      <c r="T197" s="66">
        <f t="shared" si="25"/>
        <v>111.16666666666666</v>
      </c>
    </row>
    <row r="198" spans="1:20" ht="15" customHeight="1" x14ac:dyDescent="0.25">
      <c r="A198" s="291" t="s">
        <v>30</v>
      </c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319"/>
    </row>
    <row r="199" spans="1:20" ht="15" customHeight="1" x14ac:dyDescent="0.25">
      <c r="A199" s="4">
        <v>59</v>
      </c>
      <c r="B199" s="32" t="s">
        <v>31</v>
      </c>
      <c r="C199" s="98">
        <v>100</v>
      </c>
      <c r="D199" s="197">
        <f>4.8/60*C199</f>
        <v>8</v>
      </c>
      <c r="E199" s="197">
        <v>8.33</v>
      </c>
      <c r="F199" s="197">
        <v>33.56</v>
      </c>
      <c r="G199" s="197">
        <f>184/60*C199</f>
        <v>306.66666666666669</v>
      </c>
      <c r="H199" s="197">
        <f>0.2/60*C199</f>
        <v>0.33333333333333337</v>
      </c>
      <c r="I199" s="197">
        <f>0.1/60*C199</f>
        <v>0.16666666666666669</v>
      </c>
      <c r="J199" s="198">
        <f>3/60*C199</f>
        <v>5</v>
      </c>
      <c r="K199" s="197">
        <v>0</v>
      </c>
      <c r="L199" s="197">
        <f>0.7/60*C199</f>
        <v>1.1666666666666665</v>
      </c>
      <c r="M199" s="197">
        <f>61.8/60*C199</f>
        <v>103</v>
      </c>
      <c r="N199" s="197">
        <f>51.6/60*C199</f>
        <v>86</v>
      </c>
      <c r="O199" s="197">
        <f>14.4/60*C199</f>
        <v>24.000000000000004</v>
      </c>
      <c r="P199" s="197">
        <v>0</v>
      </c>
      <c r="Q199" s="197">
        <v>0</v>
      </c>
      <c r="R199" s="197">
        <f>1.7/60*C199</f>
        <v>2.833333333333333</v>
      </c>
      <c r="S199" s="199">
        <f>15.7/60*C199</f>
        <v>26.166666666666664</v>
      </c>
      <c r="T199" s="197">
        <f>56.4/60*C199</f>
        <v>94</v>
      </c>
    </row>
    <row r="200" spans="1:20" ht="15" customHeight="1" x14ac:dyDescent="0.25">
      <c r="A200" s="8" t="s">
        <v>140</v>
      </c>
      <c r="B200" s="32" t="s">
        <v>20</v>
      </c>
      <c r="C200" s="9">
        <v>200</v>
      </c>
      <c r="D200" s="10">
        <v>0.2</v>
      </c>
      <c r="E200" s="10">
        <v>0</v>
      </c>
      <c r="F200" s="10">
        <v>6.5</v>
      </c>
      <c r="G200" s="10">
        <v>26.8</v>
      </c>
      <c r="H200" s="60">
        <v>0</v>
      </c>
      <c r="I200" s="60">
        <v>0.01</v>
      </c>
      <c r="J200" s="60">
        <v>0.3</v>
      </c>
      <c r="K200" s="60">
        <v>0</v>
      </c>
      <c r="L200" s="60">
        <v>0.04</v>
      </c>
      <c r="M200" s="38">
        <v>20.8</v>
      </c>
      <c r="N200" s="39">
        <v>4.5</v>
      </c>
      <c r="O200" s="39">
        <v>3.8</v>
      </c>
      <c r="P200" s="39">
        <v>7.2</v>
      </c>
      <c r="Q200" s="39">
        <v>0.73</v>
      </c>
      <c r="R200" s="39">
        <v>0</v>
      </c>
      <c r="S200" s="175">
        <v>0</v>
      </c>
      <c r="T200" s="12">
        <v>0</v>
      </c>
    </row>
    <row r="201" spans="1:20" ht="15" customHeight="1" x14ac:dyDescent="0.25">
      <c r="A201" s="4"/>
      <c r="B201" s="28"/>
      <c r="C201" s="28"/>
      <c r="D201" s="54"/>
      <c r="E201" s="54"/>
      <c r="F201" s="54"/>
      <c r="G201" s="54"/>
      <c r="H201" s="54"/>
      <c r="I201" s="54"/>
      <c r="J201" s="54"/>
      <c r="K201" s="54"/>
      <c r="L201" s="54"/>
      <c r="M201" s="66"/>
      <c r="N201" s="47"/>
      <c r="O201" s="47"/>
      <c r="P201" s="47"/>
      <c r="Q201" s="47"/>
      <c r="R201" s="47"/>
      <c r="S201" s="179"/>
      <c r="T201" s="47"/>
    </row>
    <row r="202" spans="1:20" ht="15" customHeight="1" x14ac:dyDescent="0.25">
      <c r="A202" s="4"/>
      <c r="B202" s="28" t="s">
        <v>32</v>
      </c>
      <c r="C202" s="28">
        <f t="shared" ref="C202:T202" si="26">SUM(C199:C201)</f>
        <v>300</v>
      </c>
      <c r="D202" s="54">
        <f t="shared" si="26"/>
        <v>8.1999999999999993</v>
      </c>
      <c r="E202" s="54">
        <f t="shared" si="26"/>
        <v>8.33</v>
      </c>
      <c r="F202" s="54">
        <f t="shared" si="26"/>
        <v>40.06</v>
      </c>
      <c r="G202" s="138">
        <f t="shared" si="26"/>
        <v>333.4666666666667</v>
      </c>
      <c r="H202" s="54">
        <f t="shared" si="26"/>
        <v>0.33333333333333337</v>
      </c>
      <c r="I202" s="54">
        <f t="shared" si="26"/>
        <v>0.17666666666666669</v>
      </c>
      <c r="J202" s="54">
        <f t="shared" si="26"/>
        <v>5.3</v>
      </c>
      <c r="K202" s="54">
        <f t="shared" si="26"/>
        <v>0</v>
      </c>
      <c r="L202" s="54">
        <f t="shared" si="26"/>
        <v>1.2066666666666666</v>
      </c>
      <c r="M202" s="66">
        <f t="shared" si="26"/>
        <v>123.8</v>
      </c>
      <c r="N202" s="47">
        <f t="shared" si="26"/>
        <v>90.5</v>
      </c>
      <c r="O202" s="47">
        <f t="shared" si="26"/>
        <v>27.800000000000004</v>
      </c>
      <c r="P202" s="47">
        <f t="shared" si="26"/>
        <v>7.2</v>
      </c>
      <c r="Q202" s="47">
        <f t="shared" si="26"/>
        <v>0.73</v>
      </c>
      <c r="R202" s="47">
        <f t="shared" si="26"/>
        <v>2.833333333333333</v>
      </c>
      <c r="S202" s="179">
        <f t="shared" si="26"/>
        <v>26.166666666666664</v>
      </c>
      <c r="T202" s="47">
        <f t="shared" si="26"/>
        <v>94</v>
      </c>
    </row>
    <row r="203" spans="1:20" ht="15" customHeight="1" x14ac:dyDescent="0.25">
      <c r="A203" s="4"/>
      <c r="B203" s="28" t="s">
        <v>33</v>
      </c>
      <c r="C203" s="28">
        <f t="shared" ref="C203:T203" si="27">C202+C197+C187</f>
        <v>1645</v>
      </c>
      <c r="D203" s="54">
        <f t="shared" si="27"/>
        <v>50.041666666666671</v>
      </c>
      <c r="E203" s="28">
        <f t="shared" si="27"/>
        <v>52.221666666666664</v>
      </c>
      <c r="F203" s="28">
        <f t="shared" si="27"/>
        <v>231.38</v>
      </c>
      <c r="G203" s="28">
        <f t="shared" si="27"/>
        <v>1617.5083333333334</v>
      </c>
      <c r="H203" s="28">
        <f t="shared" si="27"/>
        <v>67.367499999999993</v>
      </c>
      <c r="I203" s="28">
        <f t="shared" si="27"/>
        <v>0.99299999999999999</v>
      </c>
      <c r="J203" s="28">
        <f t="shared" si="27"/>
        <v>373.35</v>
      </c>
      <c r="K203" s="28">
        <f t="shared" si="27"/>
        <v>0.6183333333333334</v>
      </c>
      <c r="L203" s="28">
        <f t="shared" si="27"/>
        <v>16.423333333333332</v>
      </c>
      <c r="M203" s="28">
        <f t="shared" si="27"/>
        <v>1414.5866666666666</v>
      </c>
      <c r="N203" s="28">
        <f t="shared" si="27"/>
        <v>610.5</v>
      </c>
      <c r="O203" s="28">
        <f t="shared" si="27"/>
        <v>175.21333333333331</v>
      </c>
      <c r="P203" s="28">
        <f t="shared" si="27"/>
        <v>470.15</v>
      </c>
      <c r="Q203" s="28">
        <f t="shared" si="27"/>
        <v>53.953333333333333</v>
      </c>
      <c r="R203" s="28">
        <f t="shared" si="27"/>
        <v>56.593333333333334</v>
      </c>
      <c r="S203" s="51">
        <f t="shared" si="27"/>
        <v>74.817999999999998</v>
      </c>
      <c r="T203" s="28">
        <f t="shared" si="27"/>
        <v>349.66666666666663</v>
      </c>
    </row>
    <row r="204" spans="1:20" ht="15" customHeight="1" x14ac:dyDescent="0.25">
      <c r="A204" s="304" t="s">
        <v>56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307"/>
    </row>
    <row r="205" spans="1:20" ht="15" customHeight="1" x14ac:dyDescent="0.25">
      <c r="A205" s="293" t="s">
        <v>43</v>
      </c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307"/>
    </row>
    <row r="206" spans="1:20" ht="15" customHeight="1" x14ac:dyDescent="0.25">
      <c r="A206" s="285" t="s">
        <v>18</v>
      </c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308"/>
    </row>
    <row r="207" spans="1:20" ht="15" customHeight="1" x14ac:dyDescent="0.25">
      <c r="A207" s="287" t="s">
        <v>19</v>
      </c>
      <c r="B207" s="288"/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311"/>
    </row>
    <row r="208" spans="1:20" ht="15" customHeight="1" x14ac:dyDescent="0.25">
      <c r="A208" s="14" t="s">
        <v>164</v>
      </c>
      <c r="B208" s="32" t="s">
        <v>165</v>
      </c>
      <c r="C208" s="24">
        <v>220</v>
      </c>
      <c r="D208" s="10">
        <v>5.3</v>
      </c>
      <c r="E208" s="10">
        <f>9.3/200*C208</f>
        <v>10.230000000000002</v>
      </c>
      <c r="F208" s="10">
        <f>34/200*C208</f>
        <v>37.400000000000006</v>
      </c>
      <c r="G208" s="10">
        <f>249.1/200*C208</f>
        <v>274.01</v>
      </c>
      <c r="H208" s="150">
        <f>0.12/200*C208</f>
        <v>0.13199999999999998</v>
      </c>
      <c r="I208" s="150">
        <f>0.17/200*C208</f>
        <v>0.187</v>
      </c>
      <c r="J208" s="150">
        <f>41.5/200*C208</f>
        <v>45.65</v>
      </c>
      <c r="K208" s="150">
        <f>0.13/200*C208</f>
        <v>0.14299999999999999</v>
      </c>
      <c r="L208" s="150">
        <f>0.57/200*C208</f>
        <v>0.62699999999999989</v>
      </c>
      <c r="M208" s="150">
        <f>211/200*C208</f>
        <v>232.1</v>
      </c>
      <c r="N208" s="150">
        <f>157/200*C208</f>
        <v>172.70000000000002</v>
      </c>
      <c r="O208" s="151">
        <f>33/200*C208</f>
        <v>36.300000000000004</v>
      </c>
      <c r="P208" s="40">
        <f>222/200*C208</f>
        <v>244.20000000000002</v>
      </c>
      <c r="Q208" s="40">
        <f>0.86/200*C208</f>
        <v>0.94599999999999995</v>
      </c>
      <c r="R208" s="150">
        <f>0.5/200*C208</f>
        <v>0.55000000000000004</v>
      </c>
      <c r="S208" s="193">
        <f>16.8/200*C208</f>
        <v>18.48</v>
      </c>
      <c r="T208" s="40">
        <f>62/200*C208</f>
        <v>68.2</v>
      </c>
    </row>
    <row r="209" spans="1:20" ht="15" customHeight="1" x14ac:dyDescent="0.25">
      <c r="A209" s="8" t="s">
        <v>150</v>
      </c>
      <c r="B209" s="32" t="s">
        <v>36</v>
      </c>
      <c r="C209" s="9">
        <v>200</v>
      </c>
      <c r="D209" s="10">
        <f>3.8/200*C209</f>
        <v>3.8</v>
      </c>
      <c r="E209" s="10">
        <f>2.9/200*C209</f>
        <v>2.9</v>
      </c>
      <c r="F209" s="10">
        <f>11.3/200*C209</f>
        <v>11.3</v>
      </c>
      <c r="G209" s="10">
        <f>86/200*C209</f>
        <v>86</v>
      </c>
      <c r="H209" s="10">
        <f>0.03/200*C209</f>
        <v>0.03</v>
      </c>
      <c r="I209" s="10">
        <f>0.13/200*C209</f>
        <v>0.13</v>
      </c>
      <c r="J209" s="10">
        <f>13.3/200*C209</f>
        <v>13.3</v>
      </c>
      <c r="K209" s="10">
        <v>0</v>
      </c>
      <c r="L209" s="10">
        <f>0.52/200*C209</f>
        <v>0.52</v>
      </c>
      <c r="M209" s="11">
        <f>184/200*C209</f>
        <v>184</v>
      </c>
      <c r="N209" s="12">
        <f>111/200*C209</f>
        <v>111.00000000000001</v>
      </c>
      <c r="O209" s="12">
        <f>31/200*C209</f>
        <v>31</v>
      </c>
      <c r="P209" s="12">
        <f>107/200*C209</f>
        <v>107</v>
      </c>
      <c r="Q209" s="12">
        <f>1.07/200*C209</f>
        <v>1.07</v>
      </c>
      <c r="R209" s="12">
        <f>9/200*C209</f>
        <v>9</v>
      </c>
      <c r="S209" s="157">
        <f>1.76/200*C209</f>
        <v>1.76</v>
      </c>
      <c r="T209" s="12">
        <f>20/200*C209</f>
        <v>20</v>
      </c>
    </row>
    <row r="210" spans="1:20" ht="15" customHeight="1" x14ac:dyDescent="0.25">
      <c r="A210" s="14" t="s">
        <v>135</v>
      </c>
      <c r="B210" s="35" t="s">
        <v>22</v>
      </c>
      <c r="C210" s="6">
        <v>15</v>
      </c>
      <c r="D210" s="7">
        <f>3.5/15*C210</f>
        <v>3.5</v>
      </c>
      <c r="E210" s="7">
        <f>4.4/15*C210</f>
        <v>4.4000000000000004</v>
      </c>
      <c r="F210" s="7">
        <v>0</v>
      </c>
      <c r="G210" s="7">
        <f>53.7/15*C210</f>
        <v>53.7</v>
      </c>
      <c r="H210" s="7">
        <f>0.01/15*C210</f>
        <v>0.01</v>
      </c>
      <c r="I210" s="7">
        <f>0.05/15*C210</f>
        <v>0.05</v>
      </c>
      <c r="J210" s="7">
        <f>39/15*C210</f>
        <v>39</v>
      </c>
      <c r="K210" s="7">
        <f>0.15/15*C210</f>
        <v>0.15</v>
      </c>
      <c r="L210" s="7">
        <f>0.11/15*C210</f>
        <v>0.11</v>
      </c>
      <c r="M210" s="7">
        <f>13/15*C210</f>
        <v>13</v>
      </c>
      <c r="N210" s="7">
        <f>132/15*C210</f>
        <v>132</v>
      </c>
      <c r="O210" s="7">
        <f>5.3/15*C210</f>
        <v>5.3</v>
      </c>
      <c r="P210" s="7">
        <f>75/15*C210</f>
        <v>75</v>
      </c>
      <c r="Q210" s="7">
        <f>0.15/15*C210</f>
        <v>0.15</v>
      </c>
      <c r="R210" s="7">
        <v>0</v>
      </c>
      <c r="S210" s="128">
        <f>2.18/15*C210</f>
        <v>2.1800000000000002</v>
      </c>
      <c r="T210" s="7">
        <v>0</v>
      </c>
    </row>
    <row r="211" spans="1:20" ht="15" customHeight="1" x14ac:dyDescent="0.25">
      <c r="A211" s="14" t="s">
        <v>124</v>
      </c>
      <c r="B211" s="35" t="s">
        <v>23</v>
      </c>
      <c r="C211" s="6">
        <v>25</v>
      </c>
      <c r="D211" s="10">
        <f>1.5/25*C211</f>
        <v>1.5</v>
      </c>
      <c r="E211" s="10">
        <f>0.5/25*C211</f>
        <v>0.5</v>
      </c>
      <c r="F211" s="10">
        <f>10.2/25*C211</f>
        <v>10.199999999999999</v>
      </c>
      <c r="G211" s="10">
        <f>52/25*C211</f>
        <v>52</v>
      </c>
      <c r="H211" s="10">
        <f>0.1/25*C211</f>
        <v>0.1</v>
      </c>
      <c r="I211" s="10">
        <f>0.08/25*C211</f>
        <v>0.08</v>
      </c>
      <c r="J211" s="10">
        <v>0</v>
      </c>
      <c r="K211" s="10">
        <v>0</v>
      </c>
      <c r="L211" s="10">
        <f>0.1/25*C211</f>
        <v>0.1</v>
      </c>
      <c r="M211" s="10">
        <f>41.5/25*C211</f>
        <v>41.5</v>
      </c>
      <c r="N211" s="10">
        <f>19.75/25*C211</f>
        <v>19.75</v>
      </c>
      <c r="O211" s="10">
        <f>10/25*C211</f>
        <v>10</v>
      </c>
      <c r="P211" s="10">
        <f>31.25/25*C211</f>
        <v>31.25</v>
      </c>
      <c r="Q211" s="10">
        <f>10/25*C211</f>
        <v>10</v>
      </c>
      <c r="R211" s="10">
        <f>0.7/25*C211</f>
        <v>0.7</v>
      </c>
      <c r="S211" s="172">
        <f>7.73/25*C211</f>
        <v>7.73</v>
      </c>
      <c r="T211" s="10">
        <f>12.75/25*C211</f>
        <v>12.75</v>
      </c>
    </row>
    <row r="212" spans="1:20" ht="15" customHeight="1" x14ac:dyDescent="0.25">
      <c r="A212" s="14" t="s">
        <v>124</v>
      </c>
      <c r="B212" s="32" t="s">
        <v>24</v>
      </c>
      <c r="C212" s="16">
        <v>40</v>
      </c>
      <c r="D212" s="25">
        <f>3.4/45*C212</f>
        <v>3.0222222222222221</v>
      </c>
      <c r="E212" s="25">
        <f>0.4/45*C212</f>
        <v>0.35555555555555557</v>
      </c>
      <c r="F212" s="25">
        <f>22.1/45*C212</f>
        <v>19.644444444444446</v>
      </c>
      <c r="G212" s="25">
        <f>105.8/45*C212</f>
        <v>94.044444444444437</v>
      </c>
      <c r="H212" s="25">
        <f>0.05/45*C212</f>
        <v>4.4444444444444446E-2</v>
      </c>
      <c r="I212" s="25">
        <f>0.01/45*C212</f>
        <v>8.8888888888888889E-3</v>
      </c>
      <c r="J212" s="25">
        <v>0</v>
      </c>
      <c r="K212" s="25">
        <v>0</v>
      </c>
      <c r="L212" s="25">
        <v>0</v>
      </c>
      <c r="M212" s="25">
        <f>46.5/45*C212</f>
        <v>41.333333333333336</v>
      </c>
      <c r="N212" s="27">
        <f>10/45*C212</f>
        <v>8.8888888888888893</v>
      </c>
      <c r="O212" s="27">
        <f>7/45*C212</f>
        <v>6.2222222222222223</v>
      </c>
      <c r="P212" s="27">
        <f>32.5/45*C212</f>
        <v>28.888888888888889</v>
      </c>
      <c r="Q212" s="27">
        <f>1.6/45*C212</f>
        <v>1.4222222222222223</v>
      </c>
      <c r="R212" s="27">
        <f>0.55/45*C212</f>
        <v>0.48888888888888893</v>
      </c>
      <c r="S212" s="166">
        <f>3/45*C212</f>
        <v>2.6666666666666665</v>
      </c>
      <c r="T212" s="27">
        <f>7.5/45*C212</f>
        <v>6.6666666666666661</v>
      </c>
    </row>
    <row r="213" spans="1:20" ht="15" customHeight="1" x14ac:dyDescent="0.25">
      <c r="A213" s="14"/>
      <c r="B213" s="32"/>
      <c r="C213" s="1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2"/>
      <c r="O213" s="12"/>
      <c r="P213" s="12"/>
      <c r="Q213" s="12"/>
      <c r="R213" s="12"/>
      <c r="S213" s="157"/>
      <c r="T213" s="12"/>
    </row>
    <row r="214" spans="1:20" ht="15" customHeight="1" x14ac:dyDescent="0.25">
      <c r="A214" s="14"/>
      <c r="B214" s="6" t="s">
        <v>37</v>
      </c>
      <c r="C214" s="46">
        <f t="shared" ref="C214:T214" si="28">SUM(C208:C212)</f>
        <v>500</v>
      </c>
      <c r="D214" s="47">
        <f t="shared" si="28"/>
        <v>17.12222222222222</v>
      </c>
      <c r="E214" s="47">
        <f t="shared" si="28"/>
        <v>18.385555555555555</v>
      </c>
      <c r="F214" s="47">
        <f t="shared" si="28"/>
        <v>78.544444444444451</v>
      </c>
      <c r="G214" s="66">
        <f t="shared" si="28"/>
        <v>559.7544444444444</v>
      </c>
      <c r="H214" s="47">
        <f t="shared" si="28"/>
        <v>0.31644444444444447</v>
      </c>
      <c r="I214" s="47">
        <f t="shared" si="28"/>
        <v>0.4558888888888889</v>
      </c>
      <c r="J214" s="47">
        <f t="shared" si="28"/>
        <v>97.95</v>
      </c>
      <c r="K214" s="47">
        <f t="shared" si="28"/>
        <v>0.29299999999999998</v>
      </c>
      <c r="L214" s="47">
        <f t="shared" si="28"/>
        <v>1.357</v>
      </c>
      <c r="M214" s="66">
        <f t="shared" si="28"/>
        <v>511.93333333333334</v>
      </c>
      <c r="N214" s="66">
        <f t="shared" si="28"/>
        <v>444.33888888888896</v>
      </c>
      <c r="O214" s="47">
        <f t="shared" si="28"/>
        <v>88.822222222222237</v>
      </c>
      <c r="P214" s="66">
        <f t="shared" si="28"/>
        <v>486.33888888888896</v>
      </c>
      <c r="Q214" s="66">
        <f t="shared" si="28"/>
        <v>13.588222222222223</v>
      </c>
      <c r="R214" s="47">
        <f t="shared" si="28"/>
        <v>10.738888888888889</v>
      </c>
      <c r="S214" s="179">
        <f t="shared" si="28"/>
        <v>32.81666666666667</v>
      </c>
      <c r="T214" s="66">
        <f t="shared" si="28"/>
        <v>107.61666666666667</v>
      </c>
    </row>
    <row r="215" spans="1:20" ht="15" customHeight="1" x14ac:dyDescent="0.25">
      <c r="A215" s="281" t="s">
        <v>26</v>
      </c>
      <c r="B215" s="281"/>
      <c r="C215" s="281"/>
      <c r="D215" s="282"/>
      <c r="E215" s="282"/>
      <c r="F215" s="282"/>
      <c r="G215" s="282"/>
      <c r="H215" s="282"/>
      <c r="I215" s="282"/>
      <c r="J215" s="282"/>
      <c r="K215" s="282"/>
      <c r="L215" s="282"/>
      <c r="M215" s="67"/>
      <c r="N215" s="67"/>
      <c r="O215" s="67"/>
      <c r="P215" s="67"/>
      <c r="Q215" s="67"/>
      <c r="R215" s="67"/>
      <c r="S215" s="169"/>
      <c r="T215" s="48"/>
    </row>
    <row r="216" spans="1:20" ht="15" customHeight="1" x14ac:dyDescent="0.25">
      <c r="A216" s="4" t="s">
        <v>166</v>
      </c>
      <c r="B216" s="5" t="s">
        <v>81</v>
      </c>
      <c r="C216" s="90">
        <v>50</v>
      </c>
      <c r="D216" s="25">
        <f>0.8/60*C216</f>
        <v>0.66666666666666674</v>
      </c>
      <c r="E216" s="25">
        <f>2.7/60*C216</f>
        <v>2.2500000000000004</v>
      </c>
      <c r="F216" s="25">
        <f>4.6/60*C216</f>
        <v>3.833333333333333</v>
      </c>
      <c r="G216" s="25">
        <f>45.6/60*C216</f>
        <v>38</v>
      </c>
      <c r="H216" s="25">
        <f>0.01/60*C216</f>
        <v>8.3333333333333332E-3</v>
      </c>
      <c r="I216" s="25">
        <f>0.02/60*C216</f>
        <v>1.6666666666666666E-2</v>
      </c>
      <c r="J216" s="25">
        <f>0.68/60*C216</f>
        <v>0.56666666666666665</v>
      </c>
      <c r="K216" s="25">
        <v>0</v>
      </c>
      <c r="L216" s="25">
        <f>2.28/60*C216</f>
        <v>1.9</v>
      </c>
      <c r="M216" s="25">
        <f>136/60*C216</f>
        <v>113.33333333333333</v>
      </c>
      <c r="N216" s="25">
        <f>19/60*C216</f>
        <v>15.833333333333332</v>
      </c>
      <c r="O216" s="25">
        <f>11/60*C216</f>
        <v>9.1666666666666661</v>
      </c>
      <c r="P216" s="226">
        <f>22/60*C216</f>
        <v>18.333333333333332</v>
      </c>
      <c r="Q216" s="227">
        <f>0.7/60*C216</f>
        <v>0.58333333333333326</v>
      </c>
      <c r="R216" s="25">
        <f>12/60*C216</f>
        <v>10</v>
      </c>
      <c r="S216" s="86">
        <f>0.35/60*C216</f>
        <v>0.29166666666666663</v>
      </c>
      <c r="T216" s="25">
        <f>11/60*C216</f>
        <v>9.1666666666666661</v>
      </c>
    </row>
    <row r="217" spans="1:20" ht="15" customHeight="1" x14ac:dyDescent="0.25">
      <c r="A217" s="270" t="s">
        <v>138</v>
      </c>
      <c r="B217" s="40" t="s">
        <v>48</v>
      </c>
      <c r="C217" s="24">
        <v>200</v>
      </c>
      <c r="D217" s="10">
        <f>2.6/200*C217</f>
        <v>2.6</v>
      </c>
      <c r="E217" s="10">
        <f>2/200*C217</f>
        <v>2</v>
      </c>
      <c r="F217" s="10">
        <f>17.6/200*C217</f>
        <v>17.600000000000001</v>
      </c>
      <c r="G217" s="10">
        <f>95.4/200*C217</f>
        <v>95.4</v>
      </c>
      <c r="H217" s="10">
        <f>0.1/200*C217</f>
        <v>0.1</v>
      </c>
      <c r="I217" s="10">
        <v>0</v>
      </c>
      <c r="J217" s="10">
        <f>1/200*C217</f>
        <v>1</v>
      </c>
      <c r="K217" s="10">
        <v>0</v>
      </c>
      <c r="L217" s="10">
        <f>8/200*C217</f>
        <v>8</v>
      </c>
      <c r="M217" s="10">
        <f>255.4/200*C217</f>
        <v>255.40000000000003</v>
      </c>
      <c r="N217" s="10">
        <f>9.6/200*C217</f>
        <v>9.6</v>
      </c>
      <c r="O217" s="10">
        <f>12.1/200*C217</f>
        <v>12.1</v>
      </c>
      <c r="P217" s="10">
        <v>0</v>
      </c>
      <c r="Q217" s="10">
        <f>2.3/200*C217</f>
        <v>2.2999999999999998</v>
      </c>
      <c r="R217" s="10">
        <f>0.5/200*C217</f>
        <v>0.5</v>
      </c>
      <c r="S217" s="172">
        <v>0</v>
      </c>
      <c r="T217" s="10">
        <f>15.9/200*C217</f>
        <v>15.9</v>
      </c>
    </row>
    <row r="218" spans="1:20" ht="15" customHeight="1" x14ac:dyDescent="0.25">
      <c r="A218" s="270" t="s">
        <v>168</v>
      </c>
      <c r="B218" s="40" t="s">
        <v>167</v>
      </c>
      <c r="C218" s="63">
        <v>200</v>
      </c>
      <c r="D218" s="21">
        <f>16.3/250*C218</f>
        <v>13.040000000000001</v>
      </c>
      <c r="E218" s="21">
        <v>12.3</v>
      </c>
      <c r="F218" s="21">
        <v>28.24</v>
      </c>
      <c r="G218" s="21">
        <v>315.04000000000002</v>
      </c>
      <c r="H218" s="21">
        <v>0.19</v>
      </c>
      <c r="I218" s="21">
        <v>24</v>
      </c>
      <c r="J218" s="21">
        <v>36.200000000000003</v>
      </c>
      <c r="K218" s="21">
        <v>0.22</v>
      </c>
      <c r="L218" s="21">
        <v>13.2</v>
      </c>
      <c r="M218" s="64">
        <v>109</v>
      </c>
      <c r="N218" s="21">
        <v>32</v>
      </c>
      <c r="O218" s="21">
        <v>56</v>
      </c>
      <c r="P218" s="21">
        <v>280</v>
      </c>
      <c r="Q218" s="21">
        <v>57</v>
      </c>
      <c r="R218" s="21">
        <v>4.1500000000000004</v>
      </c>
      <c r="S218" s="89">
        <v>2.2999999999999998</v>
      </c>
      <c r="T218" s="21">
        <v>123</v>
      </c>
    </row>
    <row r="219" spans="1:20" ht="15" customHeight="1" x14ac:dyDescent="0.25">
      <c r="A219" s="270" t="s">
        <v>131</v>
      </c>
      <c r="B219" s="5" t="s">
        <v>41</v>
      </c>
      <c r="C219" s="41">
        <v>50</v>
      </c>
      <c r="D219" s="42">
        <f>0.54/30*C219</f>
        <v>0.90000000000000013</v>
      </c>
      <c r="E219" s="42">
        <f>3.67/30*C219</f>
        <v>6.1166666666666671</v>
      </c>
      <c r="F219" s="42">
        <f>5.24/30*C219</f>
        <v>8.7333333333333325</v>
      </c>
      <c r="G219" s="42">
        <f>56.16/30*C219</f>
        <v>93.6</v>
      </c>
      <c r="H219" s="42">
        <f>0.01/30*C219</f>
        <v>1.6666666666666666E-2</v>
      </c>
      <c r="I219" s="42">
        <v>0</v>
      </c>
      <c r="J219" s="42">
        <v>0</v>
      </c>
      <c r="K219" s="42">
        <f>0.23/30*C219</f>
        <v>0.38333333333333336</v>
      </c>
      <c r="L219" s="42">
        <f>1.68/30*C219</f>
        <v>2.8000000000000003</v>
      </c>
      <c r="M219" s="42">
        <f>2/30*C219</f>
        <v>3.3333333333333335</v>
      </c>
      <c r="N219" s="42">
        <f>5/30*C219</f>
        <v>8.3333333333333321</v>
      </c>
      <c r="O219" s="42">
        <v>0</v>
      </c>
      <c r="P219" s="42">
        <f>23.6/30*C219</f>
        <v>39.333333333333336</v>
      </c>
      <c r="Q219" s="42">
        <v>0</v>
      </c>
      <c r="R219" s="42">
        <f>0.01/30*C219</f>
        <v>1.6666666666666666E-2</v>
      </c>
      <c r="S219" s="165">
        <v>0</v>
      </c>
      <c r="T219" s="25">
        <f>0.04/30*C219</f>
        <v>6.6666666666666666E-2</v>
      </c>
    </row>
    <row r="220" spans="1:20" ht="15" customHeight="1" x14ac:dyDescent="0.25">
      <c r="A220" s="8" t="s">
        <v>170</v>
      </c>
      <c r="B220" s="32" t="s">
        <v>169</v>
      </c>
      <c r="C220" s="9">
        <v>200</v>
      </c>
      <c r="D220" s="10">
        <f>0.3/200*C220</f>
        <v>0.3</v>
      </c>
      <c r="E220" s="10">
        <v>0</v>
      </c>
      <c r="F220" s="10">
        <f>6.7/200*C220</f>
        <v>6.7</v>
      </c>
      <c r="G220" s="10">
        <f>27.9/200*C220</f>
        <v>27.9</v>
      </c>
      <c r="H220" s="10">
        <v>0</v>
      </c>
      <c r="I220" s="10">
        <f>0.04/200*C220</f>
        <v>0.04</v>
      </c>
      <c r="J220" s="10">
        <f>0.38/200*C220</f>
        <v>0.38</v>
      </c>
      <c r="K220" s="10">
        <v>0</v>
      </c>
      <c r="L220" s="10">
        <f>1.16/200*C220</f>
        <v>1.1599999999999999</v>
      </c>
      <c r="M220" s="11">
        <f>30.2/200*C220</f>
        <v>30.2</v>
      </c>
      <c r="N220" s="12">
        <f>6.9/200*C220</f>
        <v>6.9</v>
      </c>
      <c r="O220" s="12">
        <f>4.6/200*C220</f>
        <v>4.5999999999999996</v>
      </c>
      <c r="P220" s="12">
        <f>8.5/200*C220</f>
        <v>8.5</v>
      </c>
      <c r="Q220" s="12">
        <f>0.77/200*C220</f>
        <v>0.77</v>
      </c>
      <c r="R220" s="12">
        <v>0</v>
      </c>
      <c r="S220" s="157">
        <f>0.02/200*C220</f>
        <v>0.02</v>
      </c>
      <c r="T220" s="12">
        <f>0.7/200*C220</f>
        <v>0.7</v>
      </c>
    </row>
    <row r="221" spans="1:20" ht="15" customHeight="1" x14ac:dyDescent="0.25">
      <c r="A221" s="8" t="s">
        <v>124</v>
      </c>
      <c r="B221" s="35" t="s">
        <v>23</v>
      </c>
      <c r="C221" s="6">
        <v>60</v>
      </c>
      <c r="D221" s="10">
        <f>1.5/25*C221</f>
        <v>3.5999999999999996</v>
      </c>
      <c r="E221" s="10">
        <f>0.5/25*C221</f>
        <v>1.2</v>
      </c>
      <c r="F221" s="10">
        <f>10.2/25*C221</f>
        <v>24.479999999999997</v>
      </c>
      <c r="G221" s="10">
        <f>52/25*C221</f>
        <v>124.80000000000001</v>
      </c>
      <c r="H221" s="10">
        <f>0.1/25*C221</f>
        <v>0.24</v>
      </c>
      <c r="I221" s="10">
        <f>0.08/25*C221</f>
        <v>0.192</v>
      </c>
      <c r="J221" s="10">
        <v>0</v>
      </c>
      <c r="K221" s="10">
        <v>0</v>
      </c>
      <c r="L221" s="10">
        <f>0.1/25*C221</f>
        <v>0.24</v>
      </c>
      <c r="M221" s="10">
        <f>41.5/25*C221</f>
        <v>99.6</v>
      </c>
      <c r="N221" s="10">
        <f>19.75/25*C221</f>
        <v>47.400000000000006</v>
      </c>
      <c r="O221" s="10">
        <f>10/25*C221</f>
        <v>24</v>
      </c>
      <c r="P221" s="10">
        <f>31.25/25*C221</f>
        <v>75</v>
      </c>
      <c r="Q221" s="10">
        <f>10/25*C221</f>
        <v>24</v>
      </c>
      <c r="R221" s="10">
        <f>0.7/25*C221</f>
        <v>1.6799999999999997</v>
      </c>
      <c r="S221" s="172">
        <f>7.73/25*C221</f>
        <v>18.552000000000003</v>
      </c>
      <c r="T221" s="10">
        <f>12.75/25*C221</f>
        <v>30.6</v>
      </c>
    </row>
    <row r="222" spans="1:20" ht="15" customHeight="1" x14ac:dyDescent="0.25">
      <c r="A222" s="4" t="s">
        <v>124</v>
      </c>
      <c r="B222" s="32" t="s">
        <v>24</v>
      </c>
      <c r="C222" s="16">
        <v>30</v>
      </c>
      <c r="D222" s="25">
        <f>3.4/45*C222</f>
        <v>2.2666666666666666</v>
      </c>
      <c r="E222" s="25">
        <f>0.4/45*C222</f>
        <v>0.26666666666666666</v>
      </c>
      <c r="F222" s="25">
        <f>22.1/45*C222</f>
        <v>14.733333333333334</v>
      </c>
      <c r="G222" s="25">
        <f>105.8/45*C222</f>
        <v>70.533333333333331</v>
      </c>
      <c r="H222" s="25">
        <f>0.05/45*C222</f>
        <v>3.3333333333333333E-2</v>
      </c>
      <c r="I222" s="25">
        <f>0.01/45*C222</f>
        <v>6.6666666666666671E-3</v>
      </c>
      <c r="J222" s="25">
        <v>0</v>
      </c>
      <c r="K222" s="25">
        <v>0</v>
      </c>
      <c r="L222" s="25">
        <v>0</v>
      </c>
      <c r="M222" s="25">
        <f>46.5/45*C222</f>
        <v>31.000000000000004</v>
      </c>
      <c r="N222" s="27">
        <f>10/45*C222</f>
        <v>6.6666666666666661</v>
      </c>
      <c r="O222" s="27">
        <f>7/45*C222</f>
        <v>4.666666666666667</v>
      </c>
      <c r="P222" s="27">
        <f>32.5/45*C222</f>
        <v>21.666666666666668</v>
      </c>
      <c r="Q222" s="27">
        <f>1.6/45*C222</f>
        <v>1.0666666666666667</v>
      </c>
      <c r="R222" s="27">
        <f>0.55/45*C222</f>
        <v>0.3666666666666667</v>
      </c>
      <c r="S222" s="166">
        <f>3/45*C222</f>
        <v>2</v>
      </c>
      <c r="T222" s="27">
        <f>7.5/45*C222</f>
        <v>5</v>
      </c>
    </row>
    <row r="223" spans="1:20" ht="15" customHeight="1" x14ac:dyDescent="0.25">
      <c r="A223" s="4"/>
      <c r="B223" s="36"/>
      <c r="C223" s="16"/>
      <c r="D223" s="11"/>
      <c r="E223" s="11"/>
      <c r="F223" s="11"/>
      <c r="G223" s="11"/>
      <c r="H223" s="90"/>
      <c r="I223" s="90"/>
      <c r="J223" s="90"/>
      <c r="K223" s="90"/>
      <c r="L223" s="90"/>
      <c r="M223" s="90"/>
      <c r="N223" s="90"/>
      <c r="O223" s="92"/>
      <c r="P223" s="91"/>
      <c r="Q223" s="91"/>
      <c r="R223" s="90"/>
      <c r="S223" s="52"/>
      <c r="T223" s="91"/>
    </row>
    <row r="224" spans="1:20" ht="15" customHeight="1" x14ac:dyDescent="0.25">
      <c r="A224" s="269"/>
      <c r="B224" s="71" t="s">
        <v>29</v>
      </c>
      <c r="C224" s="71">
        <f t="shared" ref="C224:T224" si="29">SUM(C216:C223)</f>
        <v>790</v>
      </c>
      <c r="D224" s="75">
        <f t="shared" si="29"/>
        <v>23.373333333333335</v>
      </c>
      <c r="E224" s="75">
        <f t="shared" si="29"/>
        <v>24.133333333333333</v>
      </c>
      <c r="F224" s="148">
        <f t="shared" si="29"/>
        <v>104.32000000000001</v>
      </c>
      <c r="G224" s="148">
        <f t="shared" si="29"/>
        <v>765.27333333333331</v>
      </c>
      <c r="H224" s="75">
        <f t="shared" si="29"/>
        <v>0.58833333333333326</v>
      </c>
      <c r="I224" s="75">
        <f t="shared" si="29"/>
        <v>24.255333333333333</v>
      </c>
      <c r="J224" s="205">
        <f t="shared" si="29"/>
        <v>38.146666666666675</v>
      </c>
      <c r="K224" s="148">
        <f t="shared" si="29"/>
        <v>0.60333333333333339</v>
      </c>
      <c r="L224" s="148">
        <f t="shared" si="29"/>
        <v>27.3</v>
      </c>
      <c r="M224" s="205">
        <f t="shared" si="29"/>
        <v>641.86666666666667</v>
      </c>
      <c r="N224" s="148">
        <f t="shared" si="29"/>
        <v>126.73333333333335</v>
      </c>
      <c r="O224" s="148">
        <f t="shared" si="29"/>
        <v>110.53333333333333</v>
      </c>
      <c r="P224" s="148">
        <f t="shared" si="29"/>
        <v>442.83333333333331</v>
      </c>
      <c r="Q224" s="148">
        <f t="shared" si="29"/>
        <v>85.72</v>
      </c>
      <c r="R224" s="75">
        <f t="shared" si="29"/>
        <v>16.713333333333335</v>
      </c>
      <c r="S224" s="181">
        <f t="shared" si="29"/>
        <v>23.163666666666671</v>
      </c>
      <c r="T224" s="55">
        <f t="shared" si="29"/>
        <v>184.43333333333331</v>
      </c>
    </row>
    <row r="225" spans="1:20" ht="15" customHeight="1" x14ac:dyDescent="0.25">
      <c r="A225" s="283" t="s">
        <v>30</v>
      </c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320"/>
    </row>
    <row r="226" spans="1:20" ht="15" customHeight="1" x14ac:dyDescent="0.25">
      <c r="A226" s="8">
        <v>279</v>
      </c>
      <c r="B226" s="32" t="s">
        <v>101</v>
      </c>
      <c r="C226" s="9">
        <v>80</v>
      </c>
      <c r="D226" s="10">
        <v>8.24</v>
      </c>
      <c r="E226" s="10">
        <f>6.66/60*C226</f>
        <v>8.8800000000000008</v>
      </c>
      <c r="F226" s="10">
        <v>37.76</v>
      </c>
      <c r="G226" s="10">
        <v>276</v>
      </c>
      <c r="H226" s="61">
        <f>0.18/60*C226</f>
        <v>0.24</v>
      </c>
      <c r="I226" s="61">
        <f>0.33/60*C226</f>
        <v>0.44000000000000006</v>
      </c>
      <c r="J226" s="61">
        <f>4.14/60*C226</f>
        <v>5.52</v>
      </c>
      <c r="K226" s="61">
        <v>0</v>
      </c>
      <c r="L226" s="61">
        <f>0.7/60*C226</f>
        <v>0.93333333333333324</v>
      </c>
      <c r="M226" s="61">
        <f>77.32/60*C226</f>
        <v>103.09333333333333</v>
      </c>
      <c r="N226" s="61">
        <f>9.56/60*C226</f>
        <v>12.746666666666668</v>
      </c>
      <c r="O226" s="61">
        <f>8.2/60*C226</f>
        <v>10.933333333333334</v>
      </c>
      <c r="P226" s="61">
        <v>0</v>
      </c>
      <c r="Q226" s="93">
        <f>1.84/60*C226</f>
        <v>2.4533333333333336</v>
      </c>
      <c r="R226" s="61">
        <f>0.46/60*C226</f>
        <v>0.6133333333333334</v>
      </c>
      <c r="S226" s="133">
        <f>1.07/60*C226</f>
        <v>1.4266666666666667</v>
      </c>
      <c r="T226" s="61">
        <f>32.11/60*C226</f>
        <v>42.813333333333333</v>
      </c>
    </row>
    <row r="227" spans="1:20" ht="15" customHeight="1" x14ac:dyDescent="0.25">
      <c r="A227" s="8" t="s">
        <v>140</v>
      </c>
      <c r="B227" s="32" t="s">
        <v>20</v>
      </c>
      <c r="C227" s="9">
        <v>240</v>
      </c>
      <c r="D227" s="10">
        <f>0.2/200*C227</f>
        <v>0.24</v>
      </c>
      <c r="E227" s="10">
        <v>0</v>
      </c>
      <c r="F227" s="10">
        <f>6.5/200*C227</f>
        <v>7.8000000000000007</v>
      </c>
      <c r="G227" s="10">
        <f>26.8/200*C227</f>
        <v>32.160000000000004</v>
      </c>
      <c r="H227" s="10">
        <v>0</v>
      </c>
      <c r="I227" s="10">
        <f>0.01/200*C227</f>
        <v>1.2E-2</v>
      </c>
      <c r="J227" s="10">
        <f>0.3/200*C227</f>
        <v>0.36</v>
      </c>
      <c r="K227" s="10">
        <v>0</v>
      </c>
      <c r="L227" s="10">
        <f>0.04/200*C227</f>
        <v>4.8000000000000001E-2</v>
      </c>
      <c r="M227" s="11">
        <f>20.8/200*C227</f>
        <v>24.96</v>
      </c>
      <c r="N227" s="12">
        <f>4.5/200*C227</f>
        <v>5.3999999999999995</v>
      </c>
      <c r="O227" s="12">
        <f>3.8/200*C227</f>
        <v>4.5599999999999996</v>
      </c>
      <c r="P227" s="12">
        <f>7.2/200*C227</f>
        <v>8.64</v>
      </c>
      <c r="Q227" s="12">
        <f>0.73/200*C227</f>
        <v>0.876</v>
      </c>
      <c r="R227" s="12">
        <v>0</v>
      </c>
      <c r="S227" s="157">
        <v>0</v>
      </c>
      <c r="T227" s="12">
        <v>0</v>
      </c>
    </row>
    <row r="228" spans="1:20" ht="15" customHeight="1" x14ac:dyDescent="0.25">
      <c r="A228" s="4"/>
      <c r="B228" s="4"/>
      <c r="C228" s="28"/>
      <c r="D228" s="56"/>
      <c r="E228" s="21"/>
      <c r="F228" s="21"/>
      <c r="G228" s="21"/>
      <c r="H228" s="114"/>
      <c r="I228" s="114"/>
      <c r="J228" s="114"/>
      <c r="K228" s="114"/>
      <c r="L228" s="137"/>
      <c r="M228" s="115"/>
      <c r="N228" s="115"/>
      <c r="O228" s="115"/>
      <c r="P228" s="114"/>
      <c r="Q228" s="115"/>
      <c r="R228" s="114"/>
      <c r="S228" s="182"/>
      <c r="T228" s="114"/>
    </row>
    <row r="229" spans="1:20" ht="15" customHeight="1" x14ac:dyDescent="0.25">
      <c r="A229" s="269"/>
      <c r="B229" s="71" t="s">
        <v>32</v>
      </c>
      <c r="C229" s="71">
        <f t="shared" ref="C229:T229" si="30">SUM(C226:C227)</f>
        <v>320</v>
      </c>
      <c r="D229" s="116">
        <f t="shared" si="30"/>
        <v>8.48</v>
      </c>
      <c r="E229" s="62">
        <f t="shared" si="30"/>
        <v>8.8800000000000008</v>
      </c>
      <c r="F229" s="62">
        <f t="shared" si="30"/>
        <v>45.56</v>
      </c>
      <c r="G229" s="62">
        <f t="shared" si="30"/>
        <v>308.16000000000003</v>
      </c>
      <c r="H229" s="62">
        <f t="shared" si="30"/>
        <v>0.24</v>
      </c>
      <c r="I229" s="62">
        <f t="shared" si="30"/>
        <v>0.45200000000000007</v>
      </c>
      <c r="J229" s="149">
        <f t="shared" si="30"/>
        <v>5.88</v>
      </c>
      <c r="K229" s="62">
        <f t="shared" si="30"/>
        <v>0</v>
      </c>
      <c r="L229" s="62">
        <f t="shared" si="30"/>
        <v>0.98133333333333328</v>
      </c>
      <c r="M229" s="105">
        <f t="shared" si="30"/>
        <v>128.05333333333334</v>
      </c>
      <c r="N229" s="105">
        <f t="shared" si="30"/>
        <v>18.146666666666668</v>
      </c>
      <c r="O229" s="105">
        <f t="shared" si="30"/>
        <v>15.493333333333332</v>
      </c>
      <c r="P229" s="105">
        <f t="shared" si="30"/>
        <v>8.64</v>
      </c>
      <c r="Q229" s="105">
        <f t="shared" si="30"/>
        <v>3.3293333333333335</v>
      </c>
      <c r="R229" s="105">
        <f t="shared" si="30"/>
        <v>0.6133333333333334</v>
      </c>
      <c r="S229" s="183">
        <f t="shared" si="30"/>
        <v>1.4266666666666667</v>
      </c>
      <c r="T229" s="10">
        <f t="shared" si="30"/>
        <v>42.813333333333333</v>
      </c>
    </row>
    <row r="230" spans="1:20" ht="15" customHeight="1" x14ac:dyDescent="0.25">
      <c r="A230" s="4"/>
      <c r="B230" s="28" t="s">
        <v>33</v>
      </c>
      <c r="C230" s="28">
        <f t="shared" ref="C230:T230" si="31">C229+C224+C214</f>
        <v>1610</v>
      </c>
      <c r="D230" s="54">
        <f t="shared" si="31"/>
        <v>48.975555555555559</v>
      </c>
      <c r="E230" s="28">
        <f t="shared" si="31"/>
        <v>51.398888888888891</v>
      </c>
      <c r="F230" s="28">
        <f t="shared" si="31"/>
        <v>228.42444444444445</v>
      </c>
      <c r="G230" s="28">
        <f t="shared" si="31"/>
        <v>1633.1877777777777</v>
      </c>
      <c r="H230" s="28">
        <f t="shared" si="31"/>
        <v>1.1447777777777777</v>
      </c>
      <c r="I230" s="28">
        <f t="shared" si="31"/>
        <v>25.163222222222224</v>
      </c>
      <c r="J230" s="28">
        <f t="shared" si="31"/>
        <v>141.97666666666669</v>
      </c>
      <c r="K230" s="28">
        <f t="shared" si="31"/>
        <v>0.89633333333333343</v>
      </c>
      <c r="L230" s="28">
        <f t="shared" si="31"/>
        <v>29.638333333333332</v>
      </c>
      <c r="M230" s="28">
        <f t="shared" si="31"/>
        <v>1281.8533333333335</v>
      </c>
      <c r="N230" s="28">
        <f t="shared" si="31"/>
        <v>589.21888888888896</v>
      </c>
      <c r="O230" s="28">
        <f t="shared" si="31"/>
        <v>214.84888888888889</v>
      </c>
      <c r="P230" s="28">
        <f t="shared" si="31"/>
        <v>937.81222222222232</v>
      </c>
      <c r="Q230" s="28">
        <f t="shared" si="31"/>
        <v>102.63755555555556</v>
      </c>
      <c r="R230" s="28">
        <f t="shared" si="31"/>
        <v>28.065555555555555</v>
      </c>
      <c r="S230" s="51">
        <f t="shared" si="31"/>
        <v>57.407000000000011</v>
      </c>
      <c r="T230" s="28">
        <f t="shared" si="31"/>
        <v>334.86333333333334</v>
      </c>
    </row>
    <row r="231" spans="1:20" ht="15" customHeight="1" x14ac:dyDescent="0.25">
      <c r="A231" s="304" t="s">
        <v>56</v>
      </c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307"/>
    </row>
    <row r="232" spans="1:20" ht="15" customHeight="1" x14ac:dyDescent="0.25">
      <c r="A232" s="293" t="s">
        <v>47</v>
      </c>
      <c r="B232" s="294"/>
      <c r="C232" s="294"/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307"/>
    </row>
    <row r="233" spans="1:20" ht="15" customHeight="1" x14ac:dyDescent="0.25">
      <c r="A233" s="285" t="s">
        <v>18</v>
      </c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308"/>
    </row>
    <row r="234" spans="1:20" ht="15" customHeight="1" x14ac:dyDescent="0.25">
      <c r="A234" s="287" t="s">
        <v>19</v>
      </c>
      <c r="B234" s="288"/>
      <c r="C234" s="288"/>
      <c r="D234" s="288"/>
      <c r="E234" s="288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311"/>
    </row>
    <row r="235" spans="1:20" ht="15" customHeight="1" x14ac:dyDescent="0.25">
      <c r="A235" s="22" t="s">
        <v>171</v>
      </c>
      <c r="B235" s="36" t="s">
        <v>172</v>
      </c>
      <c r="C235" s="16">
        <v>250</v>
      </c>
      <c r="D235" s="56">
        <f>6.9/250*C235</f>
        <v>6.9</v>
      </c>
      <c r="E235" s="56">
        <v>15.68</v>
      </c>
      <c r="F235" s="56">
        <f>22.33/250*C235</f>
        <v>22.33</v>
      </c>
      <c r="G235" s="56">
        <v>367.8</v>
      </c>
      <c r="H235" s="56">
        <f>0.07/250*C235</f>
        <v>7.0000000000000007E-2</v>
      </c>
      <c r="I235" s="56">
        <f>0.22/250*C235</f>
        <v>0.22</v>
      </c>
      <c r="J235" s="56">
        <f>29.75/250*C235</f>
        <v>29.75</v>
      </c>
      <c r="K235" s="56">
        <f>0.03/250*C235</f>
        <v>0.03</v>
      </c>
      <c r="L235" s="56">
        <f>0.91/250*C235</f>
        <v>0.91</v>
      </c>
      <c r="M235" s="56">
        <f>233.25/250*C235</f>
        <v>233.25</v>
      </c>
      <c r="N235" s="7">
        <f>189.5/250*C235</f>
        <v>189.5</v>
      </c>
      <c r="O235" s="7">
        <f>24.25/250*C235</f>
        <v>24.25</v>
      </c>
      <c r="P235" s="7">
        <f>153/250*C235</f>
        <v>153</v>
      </c>
      <c r="Q235" s="7">
        <f>0.44/250*C235</f>
        <v>0.44</v>
      </c>
      <c r="R235" s="7">
        <f>26/250*C235</f>
        <v>26</v>
      </c>
      <c r="S235" s="128">
        <f>3/250*C235</f>
        <v>3</v>
      </c>
      <c r="T235" s="7">
        <f>39.75/250*C235</f>
        <v>39.75</v>
      </c>
    </row>
    <row r="236" spans="1:20" ht="15" customHeight="1" x14ac:dyDescent="0.25">
      <c r="A236" s="8" t="s">
        <v>140</v>
      </c>
      <c r="B236" s="32" t="s">
        <v>20</v>
      </c>
      <c r="C236" s="9">
        <v>200</v>
      </c>
      <c r="D236" s="10">
        <f>0.2/200*C236</f>
        <v>0.2</v>
      </c>
      <c r="E236" s="10">
        <v>0</v>
      </c>
      <c r="F236" s="10">
        <f>6.5/200*C236</f>
        <v>6.5</v>
      </c>
      <c r="G236" s="10">
        <f>26.8/200*C236</f>
        <v>26.8</v>
      </c>
      <c r="H236" s="10">
        <v>0</v>
      </c>
      <c r="I236" s="10">
        <f>0.01/200*C236</f>
        <v>0.01</v>
      </c>
      <c r="J236" s="10">
        <f>0.3/200*C236</f>
        <v>0.3</v>
      </c>
      <c r="K236" s="10">
        <v>0</v>
      </c>
      <c r="L236" s="10">
        <f>0.04/200*C236</f>
        <v>0.04</v>
      </c>
      <c r="M236" s="11">
        <f>20.8/200*C236</f>
        <v>20.8</v>
      </c>
      <c r="N236" s="12">
        <f>4.5/200*C236</f>
        <v>4.5</v>
      </c>
      <c r="O236" s="12">
        <f>3.8/200*C236</f>
        <v>3.8</v>
      </c>
      <c r="P236" s="12">
        <f>7.2/200*C236</f>
        <v>7.2000000000000011</v>
      </c>
      <c r="Q236" s="12">
        <f>0.73/200*C236</f>
        <v>0.73</v>
      </c>
      <c r="R236" s="12">
        <v>0</v>
      </c>
      <c r="S236" s="157">
        <v>0</v>
      </c>
      <c r="T236" s="12">
        <v>0</v>
      </c>
    </row>
    <row r="237" spans="1:20" ht="15" customHeight="1" x14ac:dyDescent="0.25">
      <c r="A237" s="4" t="s">
        <v>191</v>
      </c>
      <c r="B237" s="35" t="s">
        <v>21</v>
      </c>
      <c r="C237" s="6">
        <v>10</v>
      </c>
      <c r="D237" s="61">
        <f>10/10*C237</f>
        <v>10</v>
      </c>
      <c r="E237" s="61">
        <f>0.1/10*C237</f>
        <v>0.1</v>
      </c>
      <c r="F237" s="61">
        <f>7.2/10*C237</f>
        <v>7.1999999999999993</v>
      </c>
      <c r="G237" s="61">
        <f>1/10*C237</f>
        <v>1</v>
      </c>
      <c r="H237" s="61">
        <f>66.1/10*C237</f>
        <v>66.099999999999994</v>
      </c>
      <c r="I237" s="140">
        <f>0.01/10*C237</f>
        <v>0.01</v>
      </c>
      <c r="J237" s="61">
        <f>45/10*C237</f>
        <v>45</v>
      </c>
      <c r="K237" s="61">
        <f>0.13/10*C237</f>
        <v>0.13</v>
      </c>
      <c r="L237" s="61">
        <v>0</v>
      </c>
      <c r="M237" s="61">
        <f>3/10*C237</f>
        <v>3</v>
      </c>
      <c r="N237" s="61">
        <f>2.4/10*C237</f>
        <v>2.4</v>
      </c>
      <c r="O237" s="61">
        <v>0</v>
      </c>
      <c r="P237" s="61">
        <f>3/10*C237</f>
        <v>3</v>
      </c>
      <c r="Q237" s="61">
        <f>0.02/10*C237</f>
        <v>0.02</v>
      </c>
      <c r="R237" s="61">
        <v>0</v>
      </c>
      <c r="S237" s="133">
        <f>0.1/10*C237</f>
        <v>0.1</v>
      </c>
      <c r="T237" s="61">
        <f>0.3/10*C237</f>
        <v>0.3</v>
      </c>
    </row>
    <row r="238" spans="1:20" ht="15" customHeight="1" x14ac:dyDescent="0.25">
      <c r="A238" s="14" t="s">
        <v>124</v>
      </c>
      <c r="B238" s="35" t="s">
        <v>23</v>
      </c>
      <c r="C238" s="6">
        <v>25</v>
      </c>
      <c r="D238" s="10">
        <f>1.5/25*C238</f>
        <v>1.5</v>
      </c>
      <c r="E238" s="10">
        <f>0.5/25*C238</f>
        <v>0.5</v>
      </c>
      <c r="F238" s="10">
        <f>10.2/25*C238</f>
        <v>10.199999999999999</v>
      </c>
      <c r="G238" s="10">
        <f>52/25*C238</f>
        <v>52</v>
      </c>
      <c r="H238" s="10">
        <f>0.1/25*C238</f>
        <v>0.1</v>
      </c>
      <c r="I238" s="10">
        <f>0.08/25*C238</f>
        <v>0.08</v>
      </c>
      <c r="J238" s="10">
        <v>0</v>
      </c>
      <c r="K238" s="10">
        <v>0</v>
      </c>
      <c r="L238" s="10">
        <f>0.1/25*C238</f>
        <v>0.1</v>
      </c>
      <c r="M238" s="10">
        <f>41.5/25*C238</f>
        <v>41.5</v>
      </c>
      <c r="N238" s="10">
        <f>19.75/25*C238</f>
        <v>19.75</v>
      </c>
      <c r="O238" s="10">
        <f>10/25*C238</f>
        <v>10</v>
      </c>
      <c r="P238" s="10">
        <f>31.25/25*C238</f>
        <v>31.25</v>
      </c>
      <c r="Q238" s="10">
        <f>10/25*C238</f>
        <v>10</v>
      </c>
      <c r="R238" s="10">
        <f>0.7/25*C238</f>
        <v>0.7</v>
      </c>
      <c r="S238" s="172">
        <f>7.73/25*C238</f>
        <v>7.73</v>
      </c>
      <c r="T238" s="10">
        <f>12.75/25*C238</f>
        <v>12.75</v>
      </c>
    </row>
    <row r="239" spans="1:20" ht="15" customHeight="1" x14ac:dyDescent="0.25">
      <c r="A239" s="15" t="s">
        <v>124</v>
      </c>
      <c r="B239" s="32" t="s">
        <v>24</v>
      </c>
      <c r="C239" s="16">
        <v>35</v>
      </c>
      <c r="D239" s="25">
        <v>0.6</v>
      </c>
      <c r="E239" s="25">
        <f>0.4/45*C239</f>
        <v>0.31111111111111112</v>
      </c>
      <c r="F239" s="25">
        <f>22.1/45*C239</f>
        <v>17.18888888888889</v>
      </c>
      <c r="G239" s="25">
        <f>105.8/45*C239</f>
        <v>82.288888888888877</v>
      </c>
      <c r="H239" s="25">
        <f>0.05/45*C239</f>
        <v>3.888888888888889E-2</v>
      </c>
      <c r="I239" s="25">
        <f>0.01/45*C239</f>
        <v>7.7777777777777784E-3</v>
      </c>
      <c r="J239" s="25">
        <v>0</v>
      </c>
      <c r="K239" s="25">
        <v>0</v>
      </c>
      <c r="L239" s="25">
        <v>0</v>
      </c>
      <c r="M239" s="25">
        <f>46.5/45*C239</f>
        <v>36.166666666666671</v>
      </c>
      <c r="N239" s="27">
        <f>10/45*C239</f>
        <v>7.7777777777777777</v>
      </c>
      <c r="O239" s="27">
        <f>7/45*C239</f>
        <v>5.4444444444444446</v>
      </c>
      <c r="P239" s="27">
        <f>32.5/45*C239</f>
        <v>25.277777777777779</v>
      </c>
      <c r="Q239" s="27">
        <f>1.6/45*C239</f>
        <v>1.2444444444444445</v>
      </c>
      <c r="R239" s="27">
        <f>0.55/45*C239</f>
        <v>0.42777777777777781</v>
      </c>
      <c r="S239" s="166">
        <f>3/45*C239</f>
        <v>2.3333333333333335</v>
      </c>
      <c r="T239" s="27">
        <f>7.5/45*C239</f>
        <v>5.833333333333333</v>
      </c>
    </row>
    <row r="240" spans="1:20" ht="15" customHeight="1" x14ac:dyDescent="0.25">
      <c r="A240" s="15"/>
      <c r="B240" s="32"/>
      <c r="C240" s="1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2"/>
      <c r="O240" s="12"/>
      <c r="P240" s="12"/>
      <c r="Q240" s="12"/>
      <c r="R240" s="12"/>
      <c r="S240" s="157"/>
      <c r="T240" s="12"/>
    </row>
    <row r="241" spans="1:20" ht="15" customHeight="1" x14ac:dyDescent="0.25">
      <c r="A241" s="4"/>
      <c r="B241" s="28" t="s">
        <v>37</v>
      </c>
      <c r="C241" s="28">
        <f t="shared" ref="C241:T241" si="32">SUM(C235:C239)</f>
        <v>520</v>
      </c>
      <c r="D241" s="54">
        <f t="shared" si="32"/>
        <v>19.200000000000003</v>
      </c>
      <c r="E241" s="54">
        <f t="shared" si="32"/>
        <v>16.591111111111111</v>
      </c>
      <c r="F241" s="54">
        <f t="shared" si="32"/>
        <v>63.418888888888894</v>
      </c>
      <c r="G241" s="55">
        <f t="shared" si="32"/>
        <v>529.88888888888891</v>
      </c>
      <c r="H241" s="54">
        <f t="shared" si="32"/>
        <v>66.308888888888873</v>
      </c>
      <c r="I241" s="54">
        <f t="shared" si="32"/>
        <v>0.32777777777777778</v>
      </c>
      <c r="J241" s="54">
        <f t="shared" si="32"/>
        <v>75.05</v>
      </c>
      <c r="K241" s="54">
        <f t="shared" si="32"/>
        <v>0.16</v>
      </c>
      <c r="L241" s="54">
        <f t="shared" si="32"/>
        <v>1.05</v>
      </c>
      <c r="M241" s="55">
        <f t="shared" si="32"/>
        <v>334.7166666666667</v>
      </c>
      <c r="N241" s="55">
        <f t="shared" si="32"/>
        <v>223.92777777777778</v>
      </c>
      <c r="O241" s="54">
        <f t="shared" si="32"/>
        <v>43.49444444444444</v>
      </c>
      <c r="P241" s="55">
        <f t="shared" si="32"/>
        <v>219.72777777777776</v>
      </c>
      <c r="Q241" s="55">
        <f t="shared" si="32"/>
        <v>12.434444444444445</v>
      </c>
      <c r="R241" s="54">
        <f t="shared" si="32"/>
        <v>27.127777777777776</v>
      </c>
      <c r="S241" s="159">
        <f t="shared" si="32"/>
        <v>13.163333333333334</v>
      </c>
      <c r="T241" s="54">
        <f t="shared" si="32"/>
        <v>58.633333333333333</v>
      </c>
    </row>
    <row r="242" spans="1:20" ht="15" customHeight="1" x14ac:dyDescent="0.25">
      <c r="A242" s="281" t="s">
        <v>26</v>
      </c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67"/>
      <c r="N242" s="67"/>
      <c r="O242" s="67"/>
      <c r="P242" s="67"/>
      <c r="Q242" s="67"/>
      <c r="R242" s="67"/>
      <c r="S242" s="169"/>
      <c r="T242" s="48"/>
    </row>
    <row r="243" spans="1:20" ht="15" customHeight="1" x14ac:dyDescent="0.25">
      <c r="A243" s="8" t="s">
        <v>127</v>
      </c>
      <c r="B243" s="32" t="s">
        <v>75</v>
      </c>
      <c r="C243" s="28">
        <v>30</v>
      </c>
      <c r="D243" s="56">
        <f>0.7/60*C243</f>
        <v>0.35</v>
      </c>
      <c r="E243" s="21">
        <f>0.1/60*C243</f>
        <v>0.05</v>
      </c>
      <c r="F243" s="21">
        <f>2.3/60*C243</f>
        <v>1.1499999999999999</v>
      </c>
      <c r="G243" s="21">
        <f>12.8/60*C243</f>
        <v>6.4</v>
      </c>
      <c r="H243" s="61">
        <f>0.04/60*C243</f>
        <v>0.02</v>
      </c>
      <c r="I243" s="61">
        <f>0.02/60*C243</f>
        <v>0.01</v>
      </c>
      <c r="J243" s="61">
        <f>79.8/60*C243</f>
        <v>39.9</v>
      </c>
      <c r="K243" s="61">
        <v>0</v>
      </c>
      <c r="L243" s="61">
        <f>15/60*C243</f>
        <v>7.5</v>
      </c>
      <c r="M243" s="61">
        <f>174/60*C243</f>
        <v>87</v>
      </c>
      <c r="N243" s="61">
        <f>8.4/60*C243</f>
        <v>4.2</v>
      </c>
      <c r="O243" s="61">
        <f>12/60*C243</f>
        <v>6</v>
      </c>
      <c r="P243" s="61">
        <f>16/60*C243</f>
        <v>8</v>
      </c>
      <c r="Q243" s="61">
        <f>0.54/60*C243</f>
        <v>0.27</v>
      </c>
      <c r="R243" s="61">
        <f>1.2/60*C243</f>
        <v>0.6</v>
      </c>
      <c r="S243" s="133">
        <f>0.24/60*C243</f>
        <v>0.12</v>
      </c>
      <c r="T243" s="61">
        <f>12/60*C243</f>
        <v>6</v>
      </c>
    </row>
    <row r="244" spans="1:20" ht="15" customHeight="1" x14ac:dyDescent="0.25">
      <c r="A244" s="270" t="s">
        <v>174</v>
      </c>
      <c r="B244" s="40" t="s">
        <v>173</v>
      </c>
      <c r="C244" s="24">
        <v>200</v>
      </c>
      <c r="D244" s="21">
        <f>2.34/200*C244</f>
        <v>2.34</v>
      </c>
      <c r="E244" s="21">
        <f>3.89/200*C244</f>
        <v>3.8900000000000006</v>
      </c>
      <c r="F244" s="21">
        <f>13.61/200*C244</f>
        <v>13.61</v>
      </c>
      <c r="G244" s="21">
        <f>198.1/200*C244</f>
        <v>198.1</v>
      </c>
      <c r="H244" s="21">
        <f>205.4/200*C244</f>
        <v>205.40000000000003</v>
      </c>
      <c r="I244" s="21">
        <f>0.02/200*C244</f>
        <v>0.02</v>
      </c>
      <c r="J244" s="21">
        <f>0.05/200*C244</f>
        <v>0.05</v>
      </c>
      <c r="K244" s="21">
        <f>0.3/200*C244</f>
        <v>0.3</v>
      </c>
      <c r="L244" s="21">
        <f>13.8/200*C244</f>
        <v>13.8</v>
      </c>
      <c r="M244" s="21">
        <f>0.99/200*C244</f>
        <v>0.98999999999999988</v>
      </c>
      <c r="N244" s="21">
        <v>1E-3</v>
      </c>
      <c r="O244" s="21">
        <v>0</v>
      </c>
      <c r="P244" s="21">
        <f>245/200*C244</f>
        <v>245.00000000000003</v>
      </c>
      <c r="Q244" s="21">
        <v>0</v>
      </c>
      <c r="R244" s="21">
        <v>0</v>
      </c>
      <c r="S244" s="89">
        <v>1E-3</v>
      </c>
      <c r="T244" s="21">
        <v>0</v>
      </c>
    </row>
    <row r="245" spans="1:20" ht="15" customHeight="1" x14ac:dyDescent="0.25">
      <c r="A245" s="14" t="s">
        <v>175</v>
      </c>
      <c r="B245" s="147" t="s">
        <v>67</v>
      </c>
      <c r="C245" s="6">
        <v>150</v>
      </c>
      <c r="D245" s="7">
        <f>3.7/150*C245</f>
        <v>3.7</v>
      </c>
      <c r="E245" s="7">
        <v>12.8</v>
      </c>
      <c r="F245" s="7">
        <v>26.5</v>
      </c>
      <c r="G245" s="7">
        <v>180.3</v>
      </c>
      <c r="H245" s="7">
        <f>0.03/150*C245</f>
        <v>0.03</v>
      </c>
      <c r="I245" s="7">
        <f>0.03/150*C245</f>
        <v>0.03</v>
      </c>
      <c r="J245" s="7">
        <f>18.4/150*C245</f>
        <v>18.399999999999999</v>
      </c>
      <c r="K245" s="7">
        <f>0.09/150*C245</f>
        <v>0.09</v>
      </c>
      <c r="L245" s="7">
        <v>0</v>
      </c>
      <c r="M245" s="7">
        <f>46.6/150*C245</f>
        <v>46.600000000000009</v>
      </c>
      <c r="N245" s="7">
        <f>6.9/150*C245</f>
        <v>6.8999999999999995</v>
      </c>
      <c r="O245" s="7">
        <f>24/150*C245</f>
        <v>24</v>
      </c>
      <c r="P245" s="7">
        <f>73/150*C245</f>
        <v>73</v>
      </c>
      <c r="Q245" s="7">
        <f>0.49/150*C245</f>
        <v>0.48999999999999994</v>
      </c>
      <c r="R245" s="7">
        <f>21/150*C245</f>
        <v>21.000000000000004</v>
      </c>
      <c r="S245" s="128">
        <f>7.24/150*C245</f>
        <v>7.24</v>
      </c>
      <c r="T245" s="7">
        <f>27/150*C245</f>
        <v>27</v>
      </c>
    </row>
    <row r="246" spans="1:20" ht="15" customHeight="1" x14ac:dyDescent="0.25">
      <c r="A246" s="19" t="s">
        <v>129</v>
      </c>
      <c r="B246" s="32" t="s">
        <v>102</v>
      </c>
      <c r="C246" s="20">
        <v>100</v>
      </c>
      <c r="D246" s="21">
        <f>12.9/100*C246</f>
        <v>12.9</v>
      </c>
      <c r="E246" s="21">
        <f>4/100*C246</f>
        <v>4</v>
      </c>
      <c r="F246" s="21">
        <f>6.1/100*C246</f>
        <v>6.1</v>
      </c>
      <c r="G246" s="21">
        <f>112.2/100*C246</f>
        <v>112.20000000000002</v>
      </c>
      <c r="H246" s="21">
        <f>0.08/100*C246</f>
        <v>0.08</v>
      </c>
      <c r="I246" s="21">
        <f>0.13/100*C246</f>
        <v>0.13</v>
      </c>
      <c r="J246" s="21">
        <f>295/100*C246</f>
        <v>295</v>
      </c>
      <c r="K246" s="21">
        <f>0.46/100*C246</f>
        <v>0.45999999999999996</v>
      </c>
      <c r="L246" s="21">
        <f>0.94/100*C246</f>
        <v>0.93999999999999984</v>
      </c>
      <c r="M246" s="21">
        <f>316/100*C246</f>
        <v>316</v>
      </c>
      <c r="N246" s="21">
        <f>51/100*C246</f>
        <v>51</v>
      </c>
      <c r="O246" s="21">
        <f>44/100*C246</f>
        <v>44</v>
      </c>
      <c r="P246" s="21">
        <f>189/100*C246</f>
        <v>189</v>
      </c>
      <c r="Q246" s="21">
        <f>1.05/100*C246</f>
        <v>1.05</v>
      </c>
      <c r="R246" s="21">
        <f>122/100*C246</f>
        <v>122</v>
      </c>
      <c r="S246" s="89">
        <f>13.6/100*C246</f>
        <v>13.600000000000001</v>
      </c>
      <c r="T246" s="21">
        <f>494/100*C246</f>
        <v>494.00000000000006</v>
      </c>
    </row>
    <row r="247" spans="1:20" ht="15" customHeight="1" x14ac:dyDescent="0.25">
      <c r="A247" s="270" t="s">
        <v>131</v>
      </c>
      <c r="B247" s="5" t="s">
        <v>41</v>
      </c>
      <c r="C247" s="41">
        <v>30</v>
      </c>
      <c r="D247" s="42">
        <f>0.54/30*C247</f>
        <v>0.54</v>
      </c>
      <c r="E247" s="42">
        <f>3.67/30*C247</f>
        <v>3.67</v>
      </c>
      <c r="F247" s="42">
        <f>5.24/30*C247</f>
        <v>5.24</v>
      </c>
      <c r="G247" s="42">
        <f>56.16/30*C247</f>
        <v>56.16</v>
      </c>
      <c r="H247" s="42">
        <f>0.01/30*C247</f>
        <v>0.01</v>
      </c>
      <c r="I247" s="42">
        <v>0</v>
      </c>
      <c r="J247" s="42">
        <v>0</v>
      </c>
      <c r="K247" s="42">
        <f>0.23/30*C247</f>
        <v>0.23</v>
      </c>
      <c r="L247" s="42">
        <f>1.68/30*C247</f>
        <v>1.68</v>
      </c>
      <c r="M247" s="42">
        <f>2/30*C247</f>
        <v>2</v>
      </c>
      <c r="N247" s="42">
        <f>5/30*C247</f>
        <v>5</v>
      </c>
      <c r="O247" s="42">
        <v>0</v>
      </c>
      <c r="P247" s="42">
        <f>23.6/30*C247</f>
        <v>23.6</v>
      </c>
      <c r="Q247" s="42">
        <v>0</v>
      </c>
      <c r="R247" s="42">
        <f>0.01/30*C247</f>
        <v>0.01</v>
      </c>
      <c r="S247" s="165">
        <v>0</v>
      </c>
      <c r="T247" s="25">
        <f>0.04/30*C247</f>
        <v>0.04</v>
      </c>
    </row>
    <row r="248" spans="1:20" ht="15" customHeight="1" x14ac:dyDescent="0.25">
      <c r="A248" s="270" t="s">
        <v>147</v>
      </c>
      <c r="B248" s="5" t="s">
        <v>28</v>
      </c>
      <c r="C248" s="24">
        <v>200</v>
      </c>
      <c r="D248" s="25">
        <f>0.5/200*C248</f>
        <v>0.5</v>
      </c>
      <c r="E248" s="25">
        <v>0</v>
      </c>
      <c r="F248" s="25">
        <f>19.8/200*C248</f>
        <v>19.8</v>
      </c>
      <c r="G248" s="86">
        <f>81/200*C248</f>
        <v>81</v>
      </c>
      <c r="H248" s="126">
        <v>0</v>
      </c>
      <c r="I248" s="126">
        <v>0</v>
      </c>
      <c r="J248" s="126">
        <f>15/200*C248</f>
        <v>15</v>
      </c>
      <c r="K248" s="126">
        <v>0</v>
      </c>
      <c r="L248" s="126">
        <f>0.02/200*C248</f>
        <v>0.02</v>
      </c>
      <c r="M248" s="126">
        <f>0.17/200*C248</f>
        <v>0.17</v>
      </c>
      <c r="N248" s="126">
        <f>50/200*C248</f>
        <v>50</v>
      </c>
      <c r="O248" s="126">
        <f>2.1/200*C249</f>
        <v>0.63</v>
      </c>
      <c r="P248" s="126">
        <f>4.3/200*C248</f>
        <v>4.3</v>
      </c>
      <c r="Q248" s="126">
        <f>0.09/200*C248</f>
        <v>0.09</v>
      </c>
      <c r="R248" s="126">
        <v>0</v>
      </c>
      <c r="S248" s="233">
        <v>0</v>
      </c>
      <c r="T248" s="126">
        <v>0</v>
      </c>
    </row>
    <row r="249" spans="1:20" ht="15" customHeight="1" x14ac:dyDescent="0.25">
      <c r="A249" s="8" t="s">
        <v>124</v>
      </c>
      <c r="B249" s="35" t="s">
        <v>23</v>
      </c>
      <c r="C249" s="6">
        <v>60</v>
      </c>
      <c r="D249" s="10">
        <f>1.5/25*C249</f>
        <v>3.5999999999999996</v>
      </c>
      <c r="E249" s="10">
        <f>0.5/25*C249</f>
        <v>1.2</v>
      </c>
      <c r="F249" s="10">
        <f>10.2/25*C249</f>
        <v>24.479999999999997</v>
      </c>
      <c r="G249" s="10">
        <v>100.9</v>
      </c>
      <c r="H249" s="10">
        <f>0.1/25*C249</f>
        <v>0.24</v>
      </c>
      <c r="I249" s="10">
        <f>0.08/25*C249</f>
        <v>0.192</v>
      </c>
      <c r="J249" s="10">
        <v>0</v>
      </c>
      <c r="K249" s="10">
        <v>0</v>
      </c>
      <c r="L249" s="10">
        <f>0.1/25*C249</f>
        <v>0.24</v>
      </c>
      <c r="M249" s="10">
        <f>41.5/25*C249</f>
        <v>99.6</v>
      </c>
      <c r="N249" s="10">
        <f>19.75/25*C249</f>
        <v>47.400000000000006</v>
      </c>
      <c r="O249" s="10">
        <f>10/25*C249</f>
        <v>24</v>
      </c>
      <c r="P249" s="10">
        <f>31.25/25*C249</f>
        <v>75</v>
      </c>
      <c r="Q249" s="10">
        <f>10/25*C249</f>
        <v>24</v>
      </c>
      <c r="R249" s="10">
        <f>0.7/25*C249</f>
        <v>1.6799999999999997</v>
      </c>
      <c r="S249" s="172">
        <f>7.73/25*C249</f>
        <v>18.552000000000003</v>
      </c>
      <c r="T249" s="10">
        <f>12.75/25*C249</f>
        <v>30.6</v>
      </c>
    </row>
    <row r="250" spans="1:20" ht="15" customHeight="1" x14ac:dyDescent="0.25">
      <c r="A250" s="4" t="s">
        <v>124</v>
      </c>
      <c r="B250" s="32" t="s">
        <v>24</v>
      </c>
      <c r="C250" s="16">
        <v>30</v>
      </c>
      <c r="D250" s="25">
        <f>3.4/45*C250</f>
        <v>2.2666666666666666</v>
      </c>
      <c r="E250" s="25">
        <f>0.4/45*C250</f>
        <v>0.26666666666666666</v>
      </c>
      <c r="F250" s="25">
        <f>22.1/45*C250</f>
        <v>14.733333333333334</v>
      </c>
      <c r="G250" s="25">
        <f>105.8/45*C250</f>
        <v>70.533333333333331</v>
      </c>
      <c r="H250" s="25">
        <f>0.05/45*C250</f>
        <v>3.3333333333333333E-2</v>
      </c>
      <c r="I250" s="25">
        <f>0.01/45*C250</f>
        <v>6.6666666666666671E-3</v>
      </c>
      <c r="J250" s="25">
        <v>0</v>
      </c>
      <c r="K250" s="25">
        <v>0</v>
      </c>
      <c r="L250" s="25">
        <v>0</v>
      </c>
      <c r="M250" s="25">
        <f>46.5/45*C250</f>
        <v>31.000000000000004</v>
      </c>
      <c r="N250" s="27">
        <f>10/45*C250</f>
        <v>6.6666666666666661</v>
      </c>
      <c r="O250" s="27">
        <f>7/45*C250</f>
        <v>4.666666666666667</v>
      </c>
      <c r="P250" s="27">
        <f>32.5/45*C250</f>
        <v>21.666666666666668</v>
      </c>
      <c r="Q250" s="27">
        <f>1.6/45*C250</f>
        <v>1.0666666666666667</v>
      </c>
      <c r="R250" s="27">
        <f>0.55/45*C250</f>
        <v>0.3666666666666667</v>
      </c>
      <c r="S250" s="166">
        <f>3/45*C250</f>
        <v>2</v>
      </c>
      <c r="T250" s="27">
        <f>7.5/45*C250</f>
        <v>5</v>
      </c>
    </row>
    <row r="251" spans="1:20" ht="15" customHeight="1" x14ac:dyDescent="0.25">
      <c r="A251" s="4"/>
      <c r="B251" s="4"/>
      <c r="C251" s="24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72"/>
      <c r="T251" s="10"/>
    </row>
    <row r="252" spans="1:20" ht="15" customHeight="1" x14ac:dyDescent="0.25">
      <c r="A252" s="4"/>
      <c r="B252" s="28" t="s">
        <v>29</v>
      </c>
      <c r="C252" s="24">
        <f t="shared" ref="C252:T252" si="33">SUM(C243:C251)</f>
        <v>800</v>
      </c>
      <c r="D252" s="235">
        <f t="shared" si="33"/>
        <v>26.196666666666665</v>
      </c>
      <c r="E252" s="235">
        <f t="shared" si="33"/>
        <v>25.876666666666669</v>
      </c>
      <c r="F252" s="206">
        <f t="shared" si="33"/>
        <v>111.61333333333333</v>
      </c>
      <c r="G252" s="206">
        <f t="shared" si="33"/>
        <v>805.59333333333325</v>
      </c>
      <c r="H252" s="206">
        <f t="shared" si="33"/>
        <v>205.81333333333339</v>
      </c>
      <c r="I252" s="235">
        <f t="shared" si="33"/>
        <v>0.38866666666666666</v>
      </c>
      <c r="J252" s="206">
        <f t="shared" si="33"/>
        <v>368.35</v>
      </c>
      <c r="K252" s="235">
        <f t="shared" si="33"/>
        <v>1.08</v>
      </c>
      <c r="L252" s="235">
        <f t="shared" si="33"/>
        <v>24.18</v>
      </c>
      <c r="M252" s="206">
        <f t="shared" si="33"/>
        <v>583.36</v>
      </c>
      <c r="N252" s="206">
        <f t="shared" si="33"/>
        <v>171.16766666666666</v>
      </c>
      <c r="O252" s="206">
        <f t="shared" si="33"/>
        <v>103.29666666666667</v>
      </c>
      <c r="P252" s="206">
        <f t="shared" si="33"/>
        <v>639.56666666666661</v>
      </c>
      <c r="Q252" s="206">
        <f t="shared" si="33"/>
        <v>26.966666666666665</v>
      </c>
      <c r="R252" s="206">
        <f t="shared" si="33"/>
        <v>145.65666666666667</v>
      </c>
      <c r="S252" s="253">
        <f t="shared" si="33"/>
        <v>41.513000000000005</v>
      </c>
      <c r="T252" s="206">
        <f t="shared" si="33"/>
        <v>562.64</v>
      </c>
    </row>
    <row r="253" spans="1:20" ht="15" customHeight="1" x14ac:dyDescent="0.25">
      <c r="A253" s="291" t="s">
        <v>30</v>
      </c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319"/>
    </row>
    <row r="254" spans="1:20" ht="15" customHeight="1" x14ac:dyDescent="0.25">
      <c r="A254" s="72">
        <v>296</v>
      </c>
      <c r="B254" s="244" t="s">
        <v>76</v>
      </c>
      <c r="C254" s="73">
        <v>100</v>
      </c>
      <c r="D254" s="228">
        <v>6.4</v>
      </c>
      <c r="E254" s="228">
        <v>5.31</v>
      </c>
      <c r="F254" s="74">
        <v>35.1</v>
      </c>
      <c r="G254" s="74">
        <v>201.3</v>
      </c>
      <c r="H254" s="33">
        <f>102.3/70*C254</f>
        <v>146.14285714285714</v>
      </c>
      <c r="I254" s="33">
        <f>0.15/70*C254</f>
        <v>0.2142857142857143</v>
      </c>
      <c r="J254" s="34">
        <f>1/70*C254</f>
        <v>1.4285714285714286</v>
      </c>
      <c r="K254" s="33">
        <f>1.5/70*C254</f>
        <v>2.1428571428571428</v>
      </c>
      <c r="L254" s="33">
        <f>9.2/70*C254</f>
        <v>13.142857142857142</v>
      </c>
      <c r="M254" s="33">
        <v>0</v>
      </c>
      <c r="N254" s="33">
        <f>3.6/70*C254</f>
        <v>5.1428571428571423</v>
      </c>
      <c r="O254" s="33">
        <f>0.3/70*C254</f>
        <v>0.4285714285714286</v>
      </c>
      <c r="P254" s="33">
        <v>0</v>
      </c>
      <c r="Q254" s="33">
        <f>1.2/70*C254</f>
        <v>1.7142857142857144</v>
      </c>
      <c r="R254" s="33">
        <v>0</v>
      </c>
      <c r="S254" s="160">
        <v>0</v>
      </c>
      <c r="T254" s="33">
        <v>0</v>
      </c>
    </row>
    <row r="255" spans="1:20" ht="15" customHeight="1" x14ac:dyDescent="0.25">
      <c r="A255" s="270">
        <v>269</v>
      </c>
      <c r="B255" s="5" t="s">
        <v>103</v>
      </c>
      <c r="C255" s="26">
        <v>200</v>
      </c>
      <c r="D255" s="21">
        <v>3.5</v>
      </c>
      <c r="E255" s="21">
        <v>5.5</v>
      </c>
      <c r="F255" s="21">
        <f>9/200*C255</f>
        <v>9</v>
      </c>
      <c r="G255" s="21">
        <f>128/200*C255</f>
        <v>128</v>
      </c>
      <c r="H255" s="21">
        <v>0</v>
      </c>
      <c r="I255" s="21">
        <f>0.4/200*C255</f>
        <v>0.4</v>
      </c>
      <c r="J255" s="21">
        <f>0.66/200*C255</f>
        <v>0.66</v>
      </c>
      <c r="K255" s="21">
        <v>0</v>
      </c>
      <c r="L255" s="21">
        <f>3/200*C255</f>
        <v>3</v>
      </c>
      <c r="M255" s="21">
        <f>302/200*C255</f>
        <v>302</v>
      </c>
      <c r="N255" s="21">
        <f>238/200*C255</f>
        <v>238</v>
      </c>
      <c r="O255" s="21">
        <f>26/200*C255</f>
        <v>26</v>
      </c>
      <c r="P255" s="21">
        <f>186/200*C255</f>
        <v>186</v>
      </c>
      <c r="Q255" s="21">
        <v>0</v>
      </c>
      <c r="R255" s="21">
        <f>0.2/200*C255</f>
        <v>0.2</v>
      </c>
      <c r="S255" s="89">
        <f>4/200*C255</f>
        <v>4</v>
      </c>
      <c r="T255" s="21">
        <v>0</v>
      </c>
    </row>
    <row r="256" spans="1:20" ht="15" customHeight="1" x14ac:dyDescent="0.25">
      <c r="A256" s="4"/>
      <c r="B256" s="28"/>
      <c r="C256" s="28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181"/>
      <c r="T256" s="54"/>
    </row>
    <row r="257" spans="1:20" ht="15" customHeight="1" x14ac:dyDescent="0.25">
      <c r="A257" s="4"/>
      <c r="B257" s="28" t="s">
        <v>32</v>
      </c>
      <c r="C257" s="28">
        <f t="shared" ref="C257:T257" si="34">SUM(C254:C256)</f>
        <v>300</v>
      </c>
      <c r="D257" s="75">
        <f t="shared" si="34"/>
        <v>9.9</v>
      </c>
      <c r="E257" s="75">
        <f t="shared" si="34"/>
        <v>10.809999999999999</v>
      </c>
      <c r="F257" s="75">
        <f t="shared" si="34"/>
        <v>44.1</v>
      </c>
      <c r="G257" s="148">
        <f t="shared" si="34"/>
        <v>329.3</v>
      </c>
      <c r="H257" s="148">
        <f t="shared" si="34"/>
        <v>146.14285714285714</v>
      </c>
      <c r="I257" s="75">
        <f t="shared" si="34"/>
        <v>0.61428571428571432</v>
      </c>
      <c r="J257" s="75">
        <f t="shared" si="34"/>
        <v>2.0885714285714285</v>
      </c>
      <c r="K257" s="75">
        <f t="shared" si="34"/>
        <v>2.1428571428571428</v>
      </c>
      <c r="L257" s="75">
        <f t="shared" si="34"/>
        <v>16.142857142857142</v>
      </c>
      <c r="M257" s="148">
        <f t="shared" si="34"/>
        <v>302</v>
      </c>
      <c r="N257" s="148">
        <f t="shared" si="34"/>
        <v>243.14285714285714</v>
      </c>
      <c r="O257" s="75">
        <f t="shared" si="34"/>
        <v>26.428571428571427</v>
      </c>
      <c r="P257" s="148">
        <f t="shared" si="34"/>
        <v>186</v>
      </c>
      <c r="Q257" s="148">
        <f t="shared" si="34"/>
        <v>1.7142857142857144</v>
      </c>
      <c r="R257" s="75">
        <f t="shared" si="34"/>
        <v>0.2</v>
      </c>
      <c r="S257" s="181">
        <f t="shared" si="34"/>
        <v>4</v>
      </c>
      <c r="T257" s="54">
        <f t="shared" si="34"/>
        <v>0</v>
      </c>
    </row>
    <row r="258" spans="1:20" ht="15" customHeight="1" x14ac:dyDescent="0.25">
      <c r="A258" s="76"/>
      <c r="B258" s="28" t="s">
        <v>33</v>
      </c>
      <c r="C258" s="28">
        <f>C257+C252+C241</f>
        <v>1620</v>
      </c>
      <c r="D258" s="54">
        <f t="shared" ref="D258:T258" si="35">D257+D252+D241</f>
        <v>55.296666666666667</v>
      </c>
      <c r="E258" s="28">
        <f t="shared" si="35"/>
        <v>53.277777777777779</v>
      </c>
      <c r="F258" s="28">
        <f t="shared" si="35"/>
        <v>219.13222222222223</v>
      </c>
      <c r="G258" s="28">
        <f t="shared" si="35"/>
        <v>1664.7822222222221</v>
      </c>
      <c r="H258" s="28">
        <f t="shared" si="35"/>
        <v>418.26507936507937</v>
      </c>
      <c r="I258" s="28">
        <f t="shared" si="35"/>
        <v>1.3307301587301588</v>
      </c>
      <c r="J258" s="28">
        <f t="shared" si="35"/>
        <v>445.48857142857145</v>
      </c>
      <c r="K258" s="28">
        <f t="shared" si="35"/>
        <v>3.382857142857143</v>
      </c>
      <c r="L258" s="28">
        <f t="shared" si="35"/>
        <v>41.372857142857143</v>
      </c>
      <c r="M258" s="28">
        <f t="shared" si="35"/>
        <v>1220.0766666666668</v>
      </c>
      <c r="N258" s="28">
        <f t="shared" si="35"/>
        <v>638.23830158730163</v>
      </c>
      <c r="O258" s="28">
        <f t="shared" si="35"/>
        <v>173.21968253968254</v>
      </c>
      <c r="P258" s="28">
        <f t="shared" si="35"/>
        <v>1045.2944444444443</v>
      </c>
      <c r="Q258" s="28">
        <f t="shared" si="35"/>
        <v>41.115396825396829</v>
      </c>
      <c r="R258" s="28">
        <f t="shared" si="35"/>
        <v>172.98444444444442</v>
      </c>
      <c r="S258" s="28">
        <f t="shared" si="35"/>
        <v>58.676333333333339</v>
      </c>
      <c r="T258" s="28">
        <f t="shared" si="35"/>
        <v>621.27333333333331</v>
      </c>
    </row>
    <row r="259" spans="1:20" ht="15" customHeight="1" x14ac:dyDescent="0.25">
      <c r="A259" s="304" t="s">
        <v>56</v>
      </c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307"/>
    </row>
    <row r="260" spans="1:20" ht="15" customHeight="1" x14ac:dyDescent="0.25">
      <c r="A260" s="293" t="s">
        <v>51</v>
      </c>
      <c r="B260" s="294"/>
      <c r="C260" s="294"/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307"/>
    </row>
    <row r="261" spans="1:20" ht="15" customHeight="1" x14ac:dyDescent="0.25">
      <c r="A261" s="285" t="s">
        <v>18</v>
      </c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308"/>
    </row>
    <row r="262" spans="1:20" ht="15" customHeight="1" x14ac:dyDescent="0.25">
      <c r="A262" s="287" t="s">
        <v>19</v>
      </c>
      <c r="B262" s="288"/>
      <c r="C262" s="288"/>
      <c r="D262" s="288"/>
      <c r="E262" s="288"/>
      <c r="F262" s="288"/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311"/>
    </row>
    <row r="263" spans="1:20" ht="15" customHeight="1" x14ac:dyDescent="0.25">
      <c r="A263" s="19" t="s">
        <v>177</v>
      </c>
      <c r="B263" s="32" t="s">
        <v>176</v>
      </c>
      <c r="C263" s="28">
        <v>220</v>
      </c>
      <c r="D263" s="56">
        <f>6.8/200*C263</f>
        <v>7.48</v>
      </c>
      <c r="E263" s="56">
        <f>7.5/200*C263</f>
        <v>8.25</v>
      </c>
      <c r="F263" s="56">
        <f>24.7/200*C263</f>
        <v>27.169999999999998</v>
      </c>
      <c r="G263" s="56">
        <f>192.6/200*C263</f>
        <v>211.85999999999999</v>
      </c>
      <c r="H263" s="270">
        <f>0.14/200*C263</f>
        <v>0.15400000000000003</v>
      </c>
      <c r="I263" s="270">
        <f>0.17/200*C263</f>
        <v>0.187</v>
      </c>
      <c r="J263" s="270">
        <f>29.1/200*C263</f>
        <v>32.010000000000005</v>
      </c>
      <c r="K263" s="270">
        <f>0.07/200*C263</f>
        <v>7.7000000000000013E-2</v>
      </c>
      <c r="L263" s="270">
        <f>0.61/200*C263</f>
        <v>0.67099999999999993</v>
      </c>
      <c r="M263" s="270">
        <f>237/200*C263</f>
        <v>260.7</v>
      </c>
      <c r="N263" s="270">
        <f>146/200*C263</f>
        <v>160.6</v>
      </c>
      <c r="O263" s="270">
        <f>46/200*C263</f>
        <v>50.6</v>
      </c>
      <c r="P263" s="270">
        <f>188/200*C263</f>
        <v>206.79999999999998</v>
      </c>
      <c r="Q263" s="270">
        <f>1.2/200*C263</f>
        <v>1.32</v>
      </c>
      <c r="R263" s="270">
        <f>52/200*C263</f>
        <v>57.2</v>
      </c>
      <c r="S263" s="194">
        <f>9.95/200*C263</f>
        <v>10.944999999999999</v>
      </c>
      <c r="T263" s="270">
        <f>50/200*C263</f>
        <v>55</v>
      </c>
    </row>
    <row r="264" spans="1:20" ht="15" customHeight="1" x14ac:dyDescent="0.25">
      <c r="A264" s="8" t="s">
        <v>134</v>
      </c>
      <c r="B264" s="32" t="s">
        <v>44</v>
      </c>
      <c r="C264" s="9">
        <v>200</v>
      </c>
      <c r="D264" s="10">
        <v>3.6</v>
      </c>
      <c r="E264" s="10">
        <f>3.6/200*C264</f>
        <v>3.6000000000000005</v>
      </c>
      <c r="F264" s="10">
        <f>12.6/200*C264</f>
        <v>12.6</v>
      </c>
      <c r="G264" s="10">
        <f>100.4/200*C264</f>
        <v>100.4</v>
      </c>
      <c r="H264" s="10">
        <f>0.04/200*C264</f>
        <v>0.04</v>
      </c>
      <c r="I264" s="10">
        <f>0.17/200*C264</f>
        <v>0.17</v>
      </c>
      <c r="J264" s="10">
        <f>17.3/200*C264</f>
        <v>17.3</v>
      </c>
      <c r="K264" s="10">
        <v>0</v>
      </c>
      <c r="L264" s="10">
        <f>0.68/200*C264</f>
        <v>0.68</v>
      </c>
      <c r="M264" s="11">
        <f>220/200*C264</f>
        <v>220.00000000000003</v>
      </c>
      <c r="N264" s="12">
        <f>143/200*C264</f>
        <v>143</v>
      </c>
      <c r="O264" s="12">
        <f>34/200*C264</f>
        <v>34</v>
      </c>
      <c r="P264" s="12">
        <f>130/200*C264</f>
        <v>130</v>
      </c>
      <c r="Q264" s="12">
        <f>1.09/200*C264</f>
        <v>1.0900000000000001</v>
      </c>
      <c r="R264" s="12">
        <f>12/200*C264</f>
        <v>12</v>
      </c>
      <c r="S264" s="157">
        <f>2.29/200*C264</f>
        <v>2.29</v>
      </c>
      <c r="T264" s="12">
        <f>38/200*C264</f>
        <v>38</v>
      </c>
    </row>
    <row r="265" spans="1:20" ht="15" customHeight="1" x14ac:dyDescent="0.25">
      <c r="A265" s="14" t="s">
        <v>135</v>
      </c>
      <c r="B265" s="35" t="s">
        <v>22</v>
      </c>
      <c r="C265" s="6">
        <v>15</v>
      </c>
      <c r="D265" s="7">
        <v>2.5</v>
      </c>
      <c r="E265" s="7">
        <f>4.4/15*C265</f>
        <v>4.4000000000000004</v>
      </c>
      <c r="F265" s="7">
        <v>0</v>
      </c>
      <c r="G265" s="7">
        <f>53.7/15*C265</f>
        <v>53.7</v>
      </c>
      <c r="H265" s="7">
        <f>0.01/15*C265</f>
        <v>0.01</v>
      </c>
      <c r="I265" s="7">
        <f>0.05/15*C265</f>
        <v>0.05</v>
      </c>
      <c r="J265" s="7">
        <f>39/15*C265</f>
        <v>39</v>
      </c>
      <c r="K265" s="7">
        <f>0.15/15*C265</f>
        <v>0.15</v>
      </c>
      <c r="L265" s="7">
        <f>0.11/15*C265</f>
        <v>0.11</v>
      </c>
      <c r="M265" s="7">
        <f>13/15*C265</f>
        <v>13</v>
      </c>
      <c r="N265" s="7">
        <f>132/15*C265</f>
        <v>132</v>
      </c>
      <c r="O265" s="7">
        <f>5.3/15*C265</f>
        <v>5.3</v>
      </c>
      <c r="P265" s="7">
        <f>75/15*C265</f>
        <v>75</v>
      </c>
      <c r="Q265" s="7">
        <f>0.15/15*C265</f>
        <v>0.15</v>
      </c>
      <c r="R265" s="7">
        <v>0</v>
      </c>
      <c r="S265" s="128">
        <f>2.18/15*C265</f>
        <v>2.1800000000000002</v>
      </c>
      <c r="T265" s="7">
        <v>0</v>
      </c>
    </row>
    <row r="266" spans="1:20" ht="15" customHeight="1" x14ac:dyDescent="0.25">
      <c r="A266" s="14" t="s">
        <v>124</v>
      </c>
      <c r="B266" s="35" t="s">
        <v>23</v>
      </c>
      <c r="C266" s="6">
        <v>30</v>
      </c>
      <c r="D266" s="10">
        <f>1.5/25*C266</f>
        <v>1.7999999999999998</v>
      </c>
      <c r="E266" s="10">
        <f>0.5/25*C266</f>
        <v>0.6</v>
      </c>
      <c r="F266" s="10">
        <f>10.2/25*C266</f>
        <v>12.239999999999998</v>
      </c>
      <c r="G266" s="10">
        <f>52/25*C266</f>
        <v>62.400000000000006</v>
      </c>
      <c r="H266" s="10">
        <f>0.1/25*C266</f>
        <v>0.12</v>
      </c>
      <c r="I266" s="10">
        <f>0.08/25*C266</f>
        <v>9.6000000000000002E-2</v>
      </c>
      <c r="J266" s="10">
        <v>0</v>
      </c>
      <c r="K266" s="10">
        <v>0</v>
      </c>
      <c r="L266" s="10">
        <f>0.1/25*C266</f>
        <v>0.12</v>
      </c>
      <c r="M266" s="10">
        <f>41.5/25*C266</f>
        <v>49.8</v>
      </c>
      <c r="N266" s="10">
        <f>19.75/25*C266</f>
        <v>23.700000000000003</v>
      </c>
      <c r="O266" s="10">
        <f>10/25*C266</f>
        <v>12</v>
      </c>
      <c r="P266" s="10">
        <f>31.25/25*C266</f>
        <v>37.5</v>
      </c>
      <c r="Q266" s="10">
        <f>10/25*C266</f>
        <v>12</v>
      </c>
      <c r="R266" s="10">
        <f>0.7/25*C266</f>
        <v>0.83999999999999986</v>
      </c>
      <c r="S266" s="172">
        <f>7.73/25*C266</f>
        <v>9.2760000000000016</v>
      </c>
      <c r="T266" s="10">
        <f>12.75/25*C266</f>
        <v>15.3</v>
      </c>
    </row>
    <row r="267" spans="1:20" ht="15" customHeight="1" x14ac:dyDescent="0.25">
      <c r="A267" s="14" t="s">
        <v>124</v>
      </c>
      <c r="B267" s="32" t="s">
        <v>24</v>
      </c>
      <c r="C267" s="16">
        <v>45</v>
      </c>
      <c r="D267" s="25">
        <f>3.4/45*C267</f>
        <v>3.4</v>
      </c>
      <c r="E267" s="25">
        <f>0.4/45*C267</f>
        <v>0.4</v>
      </c>
      <c r="F267" s="25">
        <f>22.1/45*C267</f>
        <v>22.1</v>
      </c>
      <c r="G267" s="25">
        <f>105.8/45*C267</f>
        <v>105.8</v>
      </c>
      <c r="H267" s="25">
        <f>0.05/45*C267</f>
        <v>0.05</v>
      </c>
      <c r="I267" s="25">
        <f>0.01/45*C267</f>
        <v>0.01</v>
      </c>
      <c r="J267" s="25">
        <v>0</v>
      </c>
      <c r="K267" s="25">
        <v>0</v>
      </c>
      <c r="L267" s="25">
        <v>0</v>
      </c>
      <c r="M267" s="25">
        <f>46.5/45*C267</f>
        <v>46.500000000000007</v>
      </c>
      <c r="N267" s="27">
        <f>10/45*C267</f>
        <v>10</v>
      </c>
      <c r="O267" s="27">
        <f>7/45*C267</f>
        <v>7</v>
      </c>
      <c r="P267" s="27">
        <f>32.5/45*C267</f>
        <v>32.5</v>
      </c>
      <c r="Q267" s="27">
        <f>1.6/45*C267</f>
        <v>1.6</v>
      </c>
      <c r="R267" s="27">
        <f>0.55/45*C267</f>
        <v>0.55000000000000004</v>
      </c>
      <c r="S267" s="166">
        <f>3/45*C267</f>
        <v>3</v>
      </c>
      <c r="T267" s="27">
        <f>7.5/45*C267</f>
        <v>7.5</v>
      </c>
    </row>
    <row r="268" spans="1:20" ht="15" customHeight="1" x14ac:dyDescent="0.25">
      <c r="A268" s="4"/>
      <c r="B268" s="15"/>
      <c r="C268" s="16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2"/>
      <c r="O268" s="12"/>
      <c r="P268" s="12"/>
      <c r="Q268" s="12"/>
      <c r="R268" s="12"/>
      <c r="S268" s="157"/>
      <c r="T268" s="12"/>
    </row>
    <row r="269" spans="1:20" ht="15" customHeight="1" x14ac:dyDescent="0.25">
      <c r="A269" s="4"/>
      <c r="B269" s="28" t="s">
        <v>37</v>
      </c>
      <c r="C269" s="28">
        <f t="shared" ref="C269:T269" si="36">SUM(C263:C268)</f>
        <v>510</v>
      </c>
      <c r="D269" s="54">
        <f t="shared" si="36"/>
        <v>18.779999999999998</v>
      </c>
      <c r="E269" s="54">
        <f t="shared" si="36"/>
        <v>17.25</v>
      </c>
      <c r="F269" s="54">
        <f t="shared" si="36"/>
        <v>74.109999999999985</v>
      </c>
      <c r="G269" s="55">
        <f t="shared" si="36"/>
        <v>534.16</v>
      </c>
      <c r="H269" s="54">
        <f t="shared" si="36"/>
        <v>0.37400000000000005</v>
      </c>
      <c r="I269" s="54">
        <f t="shared" si="36"/>
        <v>0.51300000000000001</v>
      </c>
      <c r="J269" s="54">
        <f t="shared" si="36"/>
        <v>88.31</v>
      </c>
      <c r="K269" s="55">
        <f t="shared" si="36"/>
        <v>0.22700000000000001</v>
      </c>
      <c r="L269" s="54">
        <f t="shared" si="36"/>
        <v>1.581</v>
      </c>
      <c r="M269" s="207">
        <f t="shared" si="36"/>
        <v>590</v>
      </c>
      <c r="N269" s="207">
        <f t="shared" si="36"/>
        <v>469.3</v>
      </c>
      <c r="O269" s="207">
        <f t="shared" si="36"/>
        <v>108.89999999999999</v>
      </c>
      <c r="P269" s="207">
        <f t="shared" si="36"/>
        <v>481.79999999999995</v>
      </c>
      <c r="Q269" s="207">
        <f t="shared" si="36"/>
        <v>16.16</v>
      </c>
      <c r="R269" s="58">
        <f t="shared" si="36"/>
        <v>70.59</v>
      </c>
      <c r="S269" s="184">
        <f t="shared" si="36"/>
        <v>27.691000000000003</v>
      </c>
      <c r="T269" s="207">
        <f t="shared" si="36"/>
        <v>115.8</v>
      </c>
    </row>
    <row r="270" spans="1:20" ht="15" customHeight="1" x14ac:dyDescent="0.25">
      <c r="A270" s="281" t="s">
        <v>26</v>
      </c>
      <c r="B270" s="282"/>
      <c r="C270" s="282"/>
      <c r="D270" s="282"/>
      <c r="E270" s="282"/>
      <c r="F270" s="282"/>
      <c r="G270" s="282"/>
      <c r="H270" s="282"/>
      <c r="I270" s="282"/>
      <c r="J270" s="282"/>
      <c r="K270" s="282"/>
      <c r="L270" s="282"/>
      <c r="M270" s="67"/>
      <c r="N270" s="67"/>
      <c r="O270" s="67"/>
      <c r="P270" s="67"/>
      <c r="Q270" s="67"/>
      <c r="R270" s="67"/>
      <c r="S270" s="169"/>
      <c r="T270" s="48"/>
    </row>
    <row r="271" spans="1:20" ht="15" customHeight="1" x14ac:dyDescent="0.25">
      <c r="A271" s="19">
        <v>19</v>
      </c>
      <c r="B271" s="201" t="s">
        <v>84</v>
      </c>
      <c r="C271" s="46">
        <v>60</v>
      </c>
      <c r="D271" s="220">
        <f>0.8/60*C271</f>
        <v>0.8</v>
      </c>
      <c r="E271" s="220">
        <f>2/60*C271</f>
        <v>2</v>
      </c>
      <c r="F271" s="220">
        <f>4.1/60*C271</f>
        <v>4.0999999999999996</v>
      </c>
      <c r="G271" s="220">
        <f>37.6/60*C271</f>
        <v>37.6</v>
      </c>
      <c r="H271" s="220">
        <f>0.03/60*C271</f>
        <v>0.03</v>
      </c>
      <c r="I271" s="220">
        <f>0.04/60*C271</f>
        <v>0.04</v>
      </c>
      <c r="J271" s="220">
        <f>793/60*C271</f>
        <v>793</v>
      </c>
      <c r="K271" s="220">
        <f>0.04/60*C271</f>
        <v>0.04</v>
      </c>
      <c r="L271" s="220">
        <f>1.31/60*C271</f>
        <v>1.31</v>
      </c>
      <c r="M271" s="220">
        <f>109/60*C271</f>
        <v>109</v>
      </c>
      <c r="N271" s="220">
        <f>16/60*C271</f>
        <v>16</v>
      </c>
      <c r="O271" s="220">
        <f>22/60*C271</f>
        <v>22</v>
      </c>
      <c r="P271" s="220">
        <f>32/60*C271</f>
        <v>32</v>
      </c>
      <c r="Q271" s="220">
        <f>0.41/60*C271</f>
        <v>0.41</v>
      </c>
      <c r="R271" s="220">
        <f>3.3/60*C271</f>
        <v>3.3</v>
      </c>
      <c r="S271" s="229">
        <f>0.09/60*C271</f>
        <v>0.09</v>
      </c>
      <c r="T271" s="126">
        <f>36/60*C271</f>
        <v>36</v>
      </c>
    </row>
    <row r="272" spans="1:20" ht="15" customHeight="1" x14ac:dyDescent="0.25">
      <c r="A272" s="8">
        <v>61</v>
      </c>
      <c r="B272" s="32" t="s">
        <v>90</v>
      </c>
      <c r="C272" s="208">
        <v>200</v>
      </c>
      <c r="D272" s="61">
        <f>1.42/200*C272</f>
        <v>1.42</v>
      </c>
      <c r="E272" s="61">
        <f>3.72/200*C272</f>
        <v>3.72</v>
      </c>
      <c r="F272" s="61">
        <f>8.08/200*C272</f>
        <v>8.08</v>
      </c>
      <c r="G272" s="133">
        <f>71.2/200*C272</f>
        <v>71.2</v>
      </c>
      <c r="H272" s="126">
        <f>0.05/200*C272</f>
        <v>0.05</v>
      </c>
      <c r="I272" s="126">
        <f>0.03/200*C272</f>
        <v>0.03</v>
      </c>
      <c r="J272" s="126">
        <f>98/200*C272</f>
        <v>98</v>
      </c>
      <c r="K272" s="126">
        <v>0</v>
      </c>
      <c r="L272" s="126">
        <f>6.8/200*C272</f>
        <v>6.8000000000000007</v>
      </c>
      <c r="M272" s="126">
        <f>258/0.2/200*C272</f>
        <v>1290</v>
      </c>
      <c r="N272" s="126">
        <f>16.4/200*C272</f>
        <v>16.399999999999999</v>
      </c>
      <c r="O272" s="126">
        <f>15/200*C272</f>
        <v>15</v>
      </c>
      <c r="P272" s="126">
        <f>35.8/200*C272</f>
        <v>35.799999999999997</v>
      </c>
      <c r="Q272" s="126">
        <f>0.54/200*C272</f>
        <v>0.54</v>
      </c>
      <c r="R272" s="126">
        <f>15.2/200*C272</f>
        <v>15.2</v>
      </c>
      <c r="S272" s="126">
        <f>0.24/200*C272</f>
        <v>0.24</v>
      </c>
      <c r="T272" s="126">
        <f>20.4/200*C272</f>
        <v>20.399999999999999</v>
      </c>
    </row>
    <row r="273" spans="1:20" ht="15" customHeight="1" x14ac:dyDescent="0.25">
      <c r="A273" s="14">
        <v>208</v>
      </c>
      <c r="B273" s="35" t="s">
        <v>91</v>
      </c>
      <c r="C273" s="6">
        <v>150</v>
      </c>
      <c r="D273" s="117">
        <f>6.6/150*C273</f>
        <v>6.6</v>
      </c>
      <c r="E273" s="117">
        <f>5.4/150*C273</f>
        <v>5.4</v>
      </c>
      <c r="F273" s="117">
        <f>38.5/150*C273</f>
        <v>38.5</v>
      </c>
      <c r="G273" s="117">
        <f>229.5/150*C273</f>
        <v>229.5</v>
      </c>
      <c r="H273" s="117">
        <f>0.12/150*C273</f>
        <v>0.12</v>
      </c>
      <c r="I273" s="117">
        <f>0.04/150*C273</f>
        <v>0.04</v>
      </c>
      <c r="J273" s="117">
        <v>0</v>
      </c>
      <c r="K273" s="117">
        <v>0</v>
      </c>
      <c r="L273" s="117">
        <v>0</v>
      </c>
      <c r="M273" s="117">
        <f>130.5/150*C273</f>
        <v>130.5</v>
      </c>
      <c r="N273" s="117">
        <f>33/150*C273</f>
        <v>33</v>
      </c>
      <c r="O273" s="117">
        <f>36/150*C273</f>
        <v>36</v>
      </c>
      <c r="P273" s="117">
        <v>0</v>
      </c>
      <c r="Q273" s="117">
        <v>0</v>
      </c>
      <c r="R273" s="117">
        <f>2.55/150*C273</f>
        <v>2.5499999999999998</v>
      </c>
      <c r="S273" s="164">
        <v>0</v>
      </c>
      <c r="T273" s="117">
        <f>148.5/150*C273</f>
        <v>148.5</v>
      </c>
    </row>
    <row r="274" spans="1:20" ht="15" customHeight="1" x14ac:dyDescent="0.25">
      <c r="A274" s="4" t="s">
        <v>178</v>
      </c>
      <c r="B274" s="35" t="s">
        <v>58</v>
      </c>
      <c r="C274" s="6">
        <v>75</v>
      </c>
      <c r="D274" s="7">
        <v>11</v>
      </c>
      <c r="E274" s="7">
        <v>8.6</v>
      </c>
      <c r="F274" s="7">
        <f>10.1/90*C274</f>
        <v>8.4166666666666661</v>
      </c>
      <c r="G274" s="7">
        <f>126.4/90*C274</f>
        <v>105.33333333333334</v>
      </c>
      <c r="H274" s="7">
        <v>0.05</v>
      </c>
      <c r="I274" s="7">
        <v>0.06</v>
      </c>
      <c r="J274" s="7">
        <v>4.72</v>
      </c>
      <c r="K274" s="7">
        <v>0</v>
      </c>
      <c r="L274" s="13">
        <v>47</v>
      </c>
      <c r="M274" s="7">
        <v>158</v>
      </c>
      <c r="N274" s="7">
        <v>22</v>
      </c>
      <c r="O274" s="7">
        <v>48</v>
      </c>
      <c r="P274" s="7">
        <v>108</v>
      </c>
      <c r="Q274" s="7">
        <v>13</v>
      </c>
      <c r="R274" s="7">
        <v>1.03</v>
      </c>
      <c r="S274" s="128">
        <v>1.03</v>
      </c>
      <c r="T274" s="7">
        <v>77</v>
      </c>
    </row>
    <row r="275" spans="1:20" ht="15" customHeight="1" x14ac:dyDescent="0.25">
      <c r="A275" s="270" t="s">
        <v>131</v>
      </c>
      <c r="B275" s="5" t="s">
        <v>41</v>
      </c>
      <c r="C275" s="41">
        <v>40</v>
      </c>
      <c r="D275" s="42">
        <f>0.54/30*C275</f>
        <v>0.72000000000000008</v>
      </c>
      <c r="E275" s="42">
        <f>3.67/30*C275</f>
        <v>4.8933333333333335</v>
      </c>
      <c r="F275" s="42">
        <f>5.24/30*C275</f>
        <v>6.9866666666666664</v>
      </c>
      <c r="G275" s="25">
        <f>56.16/30*C275</f>
        <v>74.88</v>
      </c>
      <c r="H275" s="25">
        <f>0.01/30*C275</f>
        <v>1.3333333333333332E-2</v>
      </c>
      <c r="I275" s="25">
        <v>0</v>
      </c>
      <c r="J275" s="25">
        <v>0</v>
      </c>
      <c r="K275" s="25">
        <f>0.23/30*C275</f>
        <v>0.3066666666666667</v>
      </c>
      <c r="L275" s="25">
        <f>1.68/30*C275</f>
        <v>2.2400000000000002</v>
      </c>
      <c r="M275" s="25">
        <f>2/30*C275</f>
        <v>2.6666666666666665</v>
      </c>
      <c r="N275" s="25">
        <f>5/30*C275</f>
        <v>6.6666666666666661</v>
      </c>
      <c r="O275" s="25">
        <v>0</v>
      </c>
      <c r="P275" s="25">
        <f>23.6/30*C275</f>
        <v>31.466666666666669</v>
      </c>
      <c r="Q275" s="25">
        <v>0</v>
      </c>
      <c r="R275" s="25">
        <f>0.01/30*C275</f>
        <v>1.3333333333333332E-2</v>
      </c>
      <c r="S275" s="25">
        <v>0</v>
      </c>
      <c r="T275" s="25">
        <f>0.04/30*C275</f>
        <v>5.333333333333333E-2</v>
      </c>
    </row>
    <row r="276" spans="1:20" ht="15" customHeight="1" x14ac:dyDescent="0.25">
      <c r="A276" s="8" t="s">
        <v>140</v>
      </c>
      <c r="B276" s="32" t="s">
        <v>20</v>
      </c>
      <c r="C276" s="9">
        <v>200</v>
      </c>
      <c r="D276" s="10">
        <v>0.2</v>
      </c>
      <c r="E276" s="10">
        <v>0</v>
      </c>
      <c r="F276" s="10">
        <v>6.5</v>
      </c>
      <c r="G276" s="10">
        <v>26.8</v>
      </c>
      <c r="H276" s="60">
        <v>0</v>
      </c>
      <c r="I276" s="60">
        <v>0.01</v>
      </c>
      <c r="J276" s="60">
        <v>0.3</v>
      </c>
      <c r="K276" s="60">
        <v>0</v>
      </c>
      <c r="L276" s="60">
        <v>0.04</v>
      </c>
      <c r="M276" s="38">
        <v>20.8</v>
      </c>
      <c r="N276" s="39">
        <v>4.5</v>
      </c>
      <c r="O276" s="39">
        <v>3.8</v>
      </c>
      <c r="P276" s="39">
        <v>7.2</v>
      </c>
      <c r="Q276" s="39">
        <v>0.73</v>
      </c>
      <c r="R276" s="39">
        <v>0</v>
      </c>
      <c r="S276" s="175">
        <v>0</v>
      </c>
      <c r="T276" s="12">
        <v>0</v>
      </c>
    </row>
    <row r="277" spans="1:20" ht="15" customHeight="1" x14ac:dyDescent="0.25">
      <c r="A277" s="4" t="s">
        <v>124</v>
      </c>
      <c r="B277" s="35" t="s">
        <v>23</v>
      </c>
      <c r="C277" s="6">
        <v>60</v>
      </c>
      <c r="D277" s="10">
        <f>1.5/25*C277</f>
        <v>3.5999999999999996</v>
      </c>
      <c r="E277" s="10">
        <f>0.5/25*C277</f>
        <v>1.2</v>
      </c>
      <c r="F277" s="10">
        <f>10.2/25*C277</f>
        <v>24.479999999999997</v>
      </c>
      <c r="G277" s="10">
        <f>52/25*C277</f>
        <v>124.80000000000001</v>
      </c>
      <c r="H277" s="10">
        <f>0.1/25*C277</f>
        <v>0.24</v>
      </c>
      <c r="I277" s="10">
        <f>0.08/25*C277</f>
        <v>0.192</v>
      </c>
      <c r="J277" s="10">
        <v>0</v>
      </c>
      <c r="K277" s="10">
        <v>0</v>
      </c>
      <c r="L277" s="10">
        <f>0.1/25*C277</f>
        <v>0.24</v>
      </c>
      <c r="M277" s="10">
        <f>41.5/25*C277</f>
        <v>99.6</v>
      </c>
      <c r="N277" s="10">
        <f>19.75/25*C277</f>
        <v>47.400000000000006</v>
      </c>
      <c r="O277" s="10">
        <f>10/25*C277</f>
        <v>24</v>
      </c>
      <c r="P277" s="10">
        <f>31.25/25*C277</f>
        <v>75</v>
      </c>
      <c r="Q277" s="10">
        <f>10/25*C277</f>
        <v>24</v>
      </c>
      <c r="R277" s="10">
        <f>0.7/25*C277</f>
        <v>1.6799999999999997</v>
      </c>
      <c r="S277" s="172">
        <f>7.73/25*C277</f>
        <v>18.552000000000003</v>
      </c>
      <c r="T277" s="10">
        <f>12.75/25*C277</f>
        <v>30.6</v>
      </c>
    </row>
    <row r="278" spans="1:20" ht="15" customHeight="1" x14ac:dyDescent="0.25">
      <c r="A278" s="4" t="s">
        <v>124</v>
      </c>
      <c r="B278" s="32" t="s">
        <v>24</v>
      </c>
      <c r="C278" s="16">
        <v>30</v>
      </c>
      <c r="D278" s="25">
        <f>3.4/45*C278</f>
        <v>2.2666666666666666</v>
      </c>
      <c r="E278" s="25">
        <f>0.4/45*C278</f>
        <v>0.26666666666666666</v>
      </c>
      <c r="F278" s="25">
        <f>22.1/45*C278</f>
        <v>14.733333333333334</v>
      </c>
      <c r="G278" s="25">
        <f>105.8/45*C278</f>
        <v>70.533333333333331</v>
      </c>
      <c r="H278" s="25">
        <f>0.05/45*C278</f>
        <v>3.3333333333333333E-2</v>
      </c>
      <c r="I278" s="25">
        <f>0.01/45*C278</f>
        <v>6.6666666666666671E-3</v>
      </c>
      <c r="J278" s="25">
        <v>0</v>
      </c>
      <c r="K278" s="25">
        <v>0</v>
      </c>
      <c r="L278" s="25">
        <v>0</v>
      </c>
      <c r="M278" s="25">
        <f>46.5/45*C278</f>
        <v>31.000000000000004</v>
      </c>
      <c r="N278" s="27">
        <f>10/45*C278</f>
        <v>6.6666666666666661</v>
      </c>
      <c r="O278" s="27">
        <f>7/45*C278</f>
        <v>4.666666666666667</v>
      </c>
      <c r="P278" s="27">
        <f>32.5/45*C278</f>
        <v>21.666666666666668</v>
      </c>
      <c r="Q278" s="27">
        <f>1.6/45*C278</f>
        <v>1.0666666666666667</v>
      </c>
      <c r="R278" s="27">
        <f>0.55/45*C278</f>
        <v>0.3666666666666667</v>
      </c>
      <c r="S278" s="166">
        <f>3/45*C278</f>
        <v>2</v>
      </c>
      <c r="T278" s="27">
        <f>7.5/45*C278</f>
        <v>5</v>
      </c>
    </row>
    <row r="279" spans="1:20" ht="15" customHeight="1" x14ac:dyDescent="0.25">
      <c r="A279" s="4"/>
      <c r="B279" s="4"/>
      <c r="C279" s="77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178"/>
      <c r="T279" s="10"/>
    </row>
    <row r="280" spans="1:20" ht="15" customHeight="1" x14ac:dyDescent="0.25">
      <c r="A280" s="4"/>
      <c r="B280" s="28" t="s">
        <v>29</v>
      </c>
      <c r="C280" s="28">
        <f t="shared" ref="C280:T280" si="37">SUM(C271:C279)</f>
        <v>815</v>
      </c>
      <c r="D280" s="54">
        <f t="shared" si="37"/>
        <v>26.606666666666662</v>
      </c>
      <c r="E280" s="54">
        <f t="shared" si="37"/>
        <v>26.08</v>
      </c>
      <c r="F280" s="55">
        <f t="shared" si="37"/>
        <v>111.79666666666667</v>
      </c>
      <c r="G280" s="55">
        <f t="shared" si="37"/>
        <v>740.64666666666653</v>
      </c>
      <c r="H280" s="54">
        <f t="shared" si="37"/>
        <v>0.53666666666666663</v>
      </c>
      <c r="I280" s="54">
        <f t="shared" si="37"/>
        <v>0.37866666666666665</v>
      </c>
      <c r="J280" s="55">
        <f t="shared" si="37"/>
        <v>896.02</v>
      </c>
      <c r="K280" s="54">
        <f t="shared" si="37"/>
        <v>0.34666666666666668</v>
      </c>
      <c r="L280" s="54">
        <f t="shared" si="37"/>
        <v>57.63</v>
      </c>
      <c r="M280" s="230">
        <f>SUM(M271:M279)</f>
        <v>1841.5666666666666</v>
      </c>
      <c r="N280" s="207">
        <f t="shared" si="37"/>
        <v>152.63333333333335</v>
      </c>
      <c r="O280" s="207">
        <f t="shared" si="37"/>
        <v>153.46666666666667</v>
      </c>
      <c r="P280" s="207">
        <f t="shared" si="37"/>
        <v>311.13333333333338</v>
      </c>
      <c r="Q280" s="207">
        <f t="shared" si="37"/>
        <v>39.74666666666667</v>
      </c>
      <c r="R280" s="58">
        <f t="shared" si="37"/>
        <v>24.14</v>
      </c>
      <c r="S280" s="184">
        <f t="shared" si="37"/>
        <v>21.912000000000003</v>
      </c>
      <c r="T280" s="207">
        <f t="shared" si="37"/>
        <v>317.55333333333334</v>
      </c>
    </row>
    <row r="281" spans="1:20" ht="15" customHeight="1" x14ac:dyDescent="0.25">
      <c r="A281" s="4"/>
      <c r="B281" s="291" t="s">
        <v>30</v>
      </c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319"/>
    </row>
    <row r="282" spans="1:20" ht="15" customHeight="1" x14ac:dyDescent="0.25">
      <c r="A282" s="78" t="s">
        <v>124</v>
      </c>
      <c r="B282" s="32" t="s">
        <v>100</v>
      </c>
      <c r="C282" s="28">
        <v>250</v>
      </c>
      <c r="D282" s="56">
        <v>2.78</v>
      </c>
      <c r="E282" s="56">
        <f>0.4/200*C282</f>
        <v>0.5</v>
      </c>
      <c r="F282" s="56">
        <f>23.2/200*C282</f>
        <v>28.999999999999996</v>
      </c>
      <c r="G282" s="56">
        <f>100/200*C282</f>
        <v>125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7">
        <f>202/200*C282</f>
        <v>252.5</v>
      </c>
      <c r="N282" s="7">
        <f>16/200*C282</f>
        <v>20</v>
      </c>
      <c r="O282" s="7">
        <f>10/200*C282</f>
        <v>12.5</v>
      </c>
      <c r="P282" s="7">
        <f>14/200*C282</f>
        <v>17.5</v>
      </c>
      <c r="Q282" s="7">
        <v>0</v>
      </c>
      <c r="R282" s="7">
        <f>0.2/200*C282</f>
        <v>0.25</v>
      </c>
      <c r="S282" s="128">
        <f>0.2/200*C282</f>
        <v>0.25</v>
      </c>
      <c r="T282" s="7">
        <v>0</v>
      </c>
    </row>
    <row r="283" spans="1:20" ht="15" customHeight="1" x14ac:dyDescent="0.25">
      <c r="A283" s="78" t="s">
        <v>124</v>
      </c>
      <c r="B283" s="32" t="s">
        <v>92</v>
      </c>
      <c r="C283" s="28">
        <v>60</v>
      </c>
      <c r="D283" s="56">
        <v>5.5</v>
      </c>
      <c r="E283" s="56">
        <v>9.24</v>
      </c>
      <c r="F283" s="56">
        <v>18.260000000000002</v>
      </c>
      <c r="G283" s="56">
        <f>157.2/60*C283</f>
        <v>157.19999999999999</v>
      </c>
      <c r="H283" s="56">
        <v>0</v>
      </c>
      <c r="I283" s="56">
        <f>0.07/60*C283</f>
        <v>7.0000000000000007E-2</v>
      </c>
      <c r="J283" s="56">
        <f>0.02/60*C283</f>
        <v>0.02</v>
      </c>
      <c r="K283" s="56">
        <v>0</v>
      </c>
      <c r="L283" s="56">
        <v>0</v>
      </c>
      <c r="M283" s="7">
        <f>39/60*C283</f>
        <v>39</v>
      </c>
      <c r="N283" s="7">
        <f>7.8/60*C283</f>
        <v>7.8000000000000007</v>
      </c>
      <c r="O283" s="7">
        <f>0.72/60*C283</f>
        <v>0.72</v>
      </c>
      <c r="P283" s="7">
        <f>55.2/60*C283</f>
        <v>55.2</v>
      </c>
      <c r="Q283" s="7">
        <f>0.2/60*C283</f>
        <v>0.2</v>
      </c>
      <c r="R283" s="7">
        <v>0</v>
      </c>
      <c r="S283" s="128">
        <v>0</v>
      </c>
      <c r="T283" s="7">
        <v>0</v>
      </c>
    </row>
    <row r="284" spans="1:20" ht="15" customHeight="1" x14ac:dyDescent="0.25">
      <c r="A284" s="78"/>
      <c r="B284" s="78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185"/>
      <c r="T284" s="79"/>
    </row>
    <row r="285" spans="1:20" ht="15" customHeight="1" x14ac:dyDescent="0.25">
      <c r="A285" s="78"/>
      <c r="B285" s="28" t="s">
        <v>32</v>
      </c>
      <c r="C285" s="73">
        <f t="shared" ref="C285:T285" si="38">SUM(C282:C284)</f>
        <v>310</v>
      </c>
      <c r="D285" s="80">
        <f t="shared" si="38"/>
        <v>8.2799999999999994</v>
      </c>
      <c r="E285" s="80">
        <f t="shared" si="38"/>
        <v>9.74</v>
      </c>
      <c r="F285" s="80">
        <f t="shared" si="38"/>
        <v>47.26</v>
      </c>
      <c r="G285" s="210">
        <f t="shared" si="38"/>
        <v>282.2</v>
      </c>
      <c r="H285" s="80">
        <f t="shared" si="38"/>
        <v>0</v>
      </c>
      <c r="I285" s="80">
        <f t="shared" si="38"/>
        <v>7.0000000000000007E-2</v>
      </c>
      <c r="J285" s="80">
        <f t="shared" si="38"/>
        <v>0.02</v>
      </c>
      <c r="K285" s="80">
        <f t="shared" si="38"/>
        <v>0</v>
      </c>
      <c r="L285" s="80">
        <f t="shared" si="38"/>
        <v>0</v>
      </c>
      <c r="M285" s="209">
        <f t="shared" si="38"/>
        <v>291.5</v>
      </c>
      <c r="N285" s="80">
        <f t="shared" si="38"/>
        <v>27.8</v>
      </c>
      <c r="O285" s="80">
        <f t="shared" si="38"/>
        <v>13.22</v>
      </c>
      <c r="P285" s="209">
        <f t="shared" si="38"/>
        <v>72.7</v>
      </c>
      <c r="Q285" s="80">
        <f t="shared" si="38"/>
        <v>0.2</v>
      </c>
      <c r="R285" s="80">
        <f t="shared" si="38"/>
        <v>0.25</v>
      </c>
      <c r="S285" s="186">
        <f t="shared" si="38"/>
        <v>0.25</v>
      </c>
      <c r="T285" s="80">
        <f t="shared" si="38"/>
        <v>0</v>
      </c>
    </row>
    <row r="286" spans="1:20" ht="15" customHeight="1" x14ac:dyDescent="0.25">
      <c r="A286" s="78"/>
      <c r="B286" s="28" t="s">
        <v>33</v>
      </c>
      <c r="C286" s="73">
        <f>C285+C280+C269</f>
        <v>1635</v>
      </c>
      <c r="D286" s="80">
        <f t="shared" ref="D286:T286" si="39">D285+D280+D269</f>
        <v>53.666666666666657</v>
      </c>
      <c r="E286" s="73">
        <f t="shared" si="39"/>
        <v>53.07</v>
      </c>
      <c r="F286" s="73">
        <f t="shared" si="39"/>
        <v>233.16666666666666</v>
      </c>
      <c r="G286" s="73">
        <f t="shared" si="39"/>
        <v>1557.0066666666667</v>
      </c>
      <c r="H286" s="73">
        <f t="shared" si="39"/>
        <v>0.91066666666666674</v>
      </c>
      <c r="I286" s="73">
        <f t="shared" si="39"/>
        <v>0.96166666666666667</v>
      </c>
      <c r="J286" s="73">
        <f t="shared" si="39"/>
        <v>984.34999999999991</v>
      </c>
      <c r="K286" s="73">
        <f t="shared" si="39"/>
        <v>0.57366666666666666</v>
      </c>
      <c r="L286" s="73">
        <f t="shared" si="39"/>
        <v>59.211000000000006</v>
      </c>
      <c r="M286" s="73">
        <f t="shared" si="39"/>
        <v>2723.0666666666666</v>
      </c>
      <c r="N286" s="73">
        <f t="shared" si="39"/>
        <v>649.73333333333335</v>
      </c>
      <c r="O286" s="73">
        <f t="shared" si="39"/>
        <v>275.58666666666664</v>
      </c>
      <c r="P286" s="73">
        <f t="shared" si="39"/>
        <v>865.63333333333333</v>
      </c>
      <c r="Q286" s="73">
        <f t="shared" si="39"/>
        <v>56.106666666666669</v>
      </c>
      <c r="R286" s="73">
        <f t="shared" si="39"/>
        <v>94.98</v>
      </c>
      <c r="S286" s="187">
        <f t="shared" si="39"/>
        <v>49.853000000000009</v>
      </c>
      <c r="T286" s="73">
        <f t="shared" si="39"/>
        <v>433.35333333333335</v>
      </c>
    </row>
    <row r="287" spans="1:20" ht="15" customHeight="1" x14ac:dyDescent="0.25">
      <c r="A287" s="254"/>
      <c r="B287" s="255"/>
      <c r="C287" s="256"/>
      <c r="D287" s="257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  <c r="T287" s="258"/>
    </row>
    <row r="288" spans="1:20" ht="15" customHeight="1" x14ac:dyDescent="0.35">
      <c r="A288" s="280" t="s">
        <v>116</v>
      </c>
      <c r="B288" s="280"/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321" t="s">
        <v>117</v>
      </c>
      <c r="N288" s="321"/>
      <c r="O288" s="321"/>
      <c r="P288" s="321"/>
      <c r="Q288" s="321"/>
      <c r="R288" s="321"/>
      <c r="S288" s="321"/>
      <c r="T288" s="322"/>
    </row>
    <row r="289" spans="1:20" ht="1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23"/>
      <c r="N289" s="323"/>
      <c r="O289" s="323"/>
      <c r="P289" s="323"/>
      <c r="Q289" s="323"/>
      <c r="R289" s="323"/>
      <c r="S289" s="323"/>
      <c r="T289" s="324"/>
    </row>
    <row r="290" spans="1:20" ht="15" customHeight="1" x14ac:dyDescent="0.25">
      <c r="A290" s="259" t="s">
        <v>194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23"/>
      <c r="N290" s="323"/>
      <c r="O290" s="323"/>
      <c r="P290" s="323"/>
      <c r="Q290" s="323"/>
      <c r="R290" s="323"/>
      <c r="S290" s="323"/>
      <c r="T290" s="324"/>
    </row>
    <row r="291" spans="1:20" ht="15" customHeight="1" x14ac:dyDescent="0.25">
      <c r="A291" s="259" t="s">
        <v>118</v>
      </c>
      <c r="B291" s="1"/>
      <c r="C291" s="1"/>
      <c r="D291" s="1"/>
      <c r="E291" s="237"/>
      <c r="F291" s="237"/>
      <c r="G291" s="237"/>
      <c r="H291" s="238"/>
      <c r="I291" s="237"/>
      <c r="J291" s="237"/>
      <c r="K291" s="237"/>
      <c r="L291" s="238"/>
      <c r="M291" s="238"/>
      <c r="N291" s="238"/>
      <c r="O291" s="238"/>
      <c r="P291" s="237"/>
      <c r="Q291" s="237"/>
      <c r="R291" s="237"/>
      <c r="S291" s="1"/>
      <c r="T291" s="260"/>
    </row>
    <row r="292" spans="1:20" ht="15" customHeight="1" x14ac:dyDescent="0.25">
      <c r="A292" s="275" t="s">
        <v>108</v>
      </c>
      <c r="B292" s="273" t="s">
        <v>109</v>
      </c>
      <c r="C292" s="277" t="s">
        <v>110</v>
      </c>
      <c r="D292" s="279" t="s">
        <v>111</v>
      </c>
      <c r="E292" s="279"/>
      <c r="F292" s="279"/>
      <c r="G292" s="278" t="s">
        <v>112</v>
      </c>
      <c r="H292" s="279" t="s">
        <v>113</v>
      </c>
      <c r="I292" s="279"/>
      <c r="J292" s="279"/>
      <c r="K292" s="279"/>
      <c r="L292" s="279"/>
      <c r="M292" s="279" t="s">
        <v>114</v>
      </c>
      <c r="N292" s="279"/>
      <c r="O292" s="279"/>
      <c r="P292" s="279"/>
      <c r="Q292" s="279"/>
      <c r="R292" s="279"/>
      <c r="S292" s="279"/>
      <c r="T292" s="279"/>
    </row>
    <row r="293" spans="1:20" ht="15" customHeight="1" x14ac:dyDescent="0.25">
      <c r="A293" s="276"/>
      <c r="B293" s="274"/>
      <c r="C293" s="277"/>
      <c r="D293" s="267" t="s">
        <v>0</v>
      </c>
      <c r="E293" s="267" t="s">
        <v>1</v>
      </c>
      <c r="F293" s="267" t="s">
        <v>2</v>
      </c>
      <c r="G293" s="278"/>
      <c r="H293" s="267" t="s">
        <v>3</v>
      </c>
      <c r="I293" s="267" t="s">
        <v>4</v>
      </c>
      <c r="J293" s="267" t="s">
        <v>5</v>
      </c>
      <c r="K293" s="267" t="s">
        <v>6</v>
      </c>
      <c r="L293" s="267" t="s">
        <v>7</v>
      </c>
      <c r="M293" s="3" t="s">
        <v>8</v>
      </c>
      <c r="N293" s="3" t="s">
        <v>9</v>
      </c>
      <c r="O293" s="3" t="s">
        <v>10</v>
      </c>
      <c r="P293" s="3" t="s">
        <v>11</v>
      </c>
      <c r="Q293" s="3" t="s">
        <v>12</v>
      </c>
      <c r="R293" s="3" t="s">
        <v>13</v>
      </c>
      <c r="S293" s="3" t="s">
        <v>14</v>
      </c>
      <c r="T293" s="3" t="s">
        <v>15</v>
      </c>
    </row>
    <row r="294" spans="1:20" ht="15" customHeight="1" x14ac:dyDescent="0.25">
      <c r="A294" s="293" t="s">
        <v>16</v>
      </c>
      <c r="B294" s="294"/>
      <c r="C294" s="294"/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307"/>
    </row>
    <row r="295" spans="1:20" ht="15" customHeight="1" x14ac:dyDescent="0.25">
      <c r="A295" s="317" t="s">
        <v>17</v>
      </c>
      <c r="B295" s="294"/>
      <c r="C295" s="294"/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307"/>
    </row>
    <row r="296" spans="1:20" ht="15" customHeight="1" x14ac:dyDescent="0.25">
      <c r="A296" s="285" t="s">
        <v>18</v>
      </c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308"/>
    </row>
    <row r="297" spans="1:20" ht="15" customHeight="1" x14ac:dyDescent="0.25">
      <c r="A297" s="287" t="s">
        <v>19</v>
      </c>
      <c r="B297" s="288"/>
      <c r="C297" s="288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309"/>
    </row>
    <row r="298" spans="1:20" ht="15" customHeight="1" x14ac:dyDescent="0.25">
      <c r="A298" s="8" t="s">
        <v>179</v>
      </c>
      <c r="B298" s="32" t="s">
        <v>180</v>
      </c>
      <c r="C298" s="20">
        <v>200</v>
      </c>
      <c r="D298" s="61">
        <v>5.2</v>
      </c>
      <c r="E298" s="61">
        <v>15.2</v>
      </c>
      <c r="F298" s="61">
        <v>31</v>
      </c>
      <c r="G298" s="133">
        <f>287.8/200*C298</f>
        <v>287.8</v>
      </c>
      <c r="H298" s="61">
        <f>0.08/200*C298</f>
        <v>0.08</v>
      </c>
      <c r="I298" s="61">
        <f>0.16/200*C298</f>
        <v>0.16</v>
      </c>
      <c r="J298" s="61">
        <f>51.5/200*C298</f>
        <v>51.5</v>
      </c>
      <c r="K298" s="61">
        <f>0.13/200*C298</f>
        <v>0.13</v>
      </c>
      <c r="L298" s="61">
        <f>0.52/200*C298</f>
        <v>0.52</v>
      </c>
      <c r="M298" s="61">
        <f>193/200*C298</f>
        <v>193</v>
      </c>
      <c r="N298" s="61">
        <f>121/200*C298</f>
        <v>121</v>
      </c>
      <c r="O298" s="61">
        <f>27/200*C298</f>
        <v>27</v>
      </c>
      <c r="P298" s="61">
        <f>136/200*C298</f>
        <v>136</v>
      </c>
      <c r="Q298" s="61">
        <f>1.49/200*C298</f>
        <v>1.49</v>
      </c>
      <c r="R298" s="61">
        <f>49/200*C298</f>
        <v>49</v>
      </c>
      <c r="S298" s="61">
        <f>10.4/200*C298</f>
        <v>10.4</v>
      </c>
      <c r="T298" s="61">
        <f>20/200*C298</f>
        <v>20</v>
      </c>
    </row>
    <row r="299" spans="1:20" ht="15" customHeight="1" x14ac:dyDescent="0.25">
      <c r="A299" s="8" t="s">
        <v>123</v>
      </c>
      <c r="B299" s="32" t="s">
        <v>122</v>
      </c>
      <c r="C299" s="9">
        <v>220</v>
      </c>
      <c r="D299" s="10">
        <v>0.7</v>
      </c>
      <c r="E299" s="10">
        <f>1.1/200*C299</f>
        <v>1.2100000000000002</v>
      </c>
      <c r="F299" s="10">
        <v>3.27</v>
      </c>
      <c r="G299" s="10">
        <f>50.9/200*C299</f>
        <v>55.99</v>
      </c>
      <c r="H299" s="10">
        <f>0.01/200*C299</f>
        <v>1.1000000000000001E-2</v>
      </c>
      <c r="I299" s="10">
        <f>0.07/200*C299</f>
        <v>7.7000000000000013E-2</v>
      </c>
      <c r="J299" s="10">
        <f>6.9/200*C299</f>
        <v>7.5900000000000007</v>
      </c>
      <c r="K299" s="10">
        <v>0</v>
      </c>
      <c r="L299" s="10">
        <f>0.3/200*C299</f>
        <v>0.33</v>
      </c>
      <c r="M299" s="21">
        <f>81.3/200*C299</f>
        <v>89.429999999999993</v>
      </c>
      <c r="N299" s="10">
        <f>57/200*C299</f>
        <v>62.699999999999996</v>
      </c>
      <c r="O299" s="10">
        <f>9.9/200*C299</f>
        <v>10.89</v>
      </c>
      <c r="P299" s="10">
        <f>46/200*C299</f>
        <v>50.6</v>
      </c>
      <c r="Q299" s="10">
        <f>0.77/200*C299</f>
        <v>0.84699999999999998</v>
      </c>
      <c r="R299" s="10">
        <f>4.5/200*C299</f>
        <v>4.95</v>
      </c>
      <c r="S299" s="172">
        <f>0.88/200*C299</f>
        <v>0.96800000000000008</v>
      </c>
      <c r="T299" s="10">
        <f>10/200*C299</f>
        <v>11</v>
      </c>
    </row>
    <row r="300" spans="1:20" ht="15" customHeight="1" x14ac:dyDescent="0.25">
      <c r="A300" s="4" t="s">
        <v>191</v>
      </c>
      <c r="B300" s="35" t="s">
        <v>21</v>
      </c>
      <c r="C300" s="6">
        <v>10</v>
      </c>
      <c r="D300" s="61">
        <f>10/10*C300</f>
        <v>10</v>
      </c>
      <c r="E300" s="61">
        <v>0.2</v>
      </c>
      <c r="F300" s="61">
        <f>7.2/10*C300</f>
        <v>7.1999999999999993</v>
      </c>
      <c r="G300" s="61">
        <f>1/10*C300</f>
        <v>1</v>
      </c>
      <c r="H300" s="61">
        <f>66.1/10*C300</f>
        <v>66.099999999999994</v>
      </c>
      <c r="I300" s="140">
        <f>0.01/10*C300</f>
        <v>0.01</v>
      </c>
      <c r="J300" s="61">
        <f>45/10*C300</f>
        <v>45</v>
      </c>
      <c r="K300" s="61">
        <f>0.13/10*C300</f>
        <v>0.13</v>
      </c>
      <c r="L300" s="61">
        <v>0</v>
      </c>
      <c r="M300" s="61">
        <f>3/10*C300</f>
        <v>3</v>
      </c>
      <c r="N300" s="61">
        <f>2.4/10*C300</f>
        <v>2.4</v>
      </c>
      <c r="O300" s="61">
        <v>0</v>
      </c>
      <c r="P300" s="61">
        <f>3/10*C300</f>
        <v>3</v>
      </c>
      <c r="Q300" s="61">
        <f>0.02/10*C300</f>
        <v>0.02</v>
      </c>
      <c r="R300" s="61">
        <v>0</v>
      </c>
      <c r="S300" s="133">
        <f>0.1/10*C300</f>
        <v>0.1</v>
      </c>
      <c r="T300" s="61">
        <f>0.3/10*C300</f>
        <v>0.3</v>
      </c>
    </row>
    <row r="301" spans="1:20" ht="15" customHeight="1" x14ac:dyDescent="0.25">
      <c r="A301" s="14" t="s">
        <v>124</v>
      </c>
      <c r="B301" s="35" t="s">
        <v>23</v>
      </c>
      <c r="C301" s="6">
        <v>25</v>
      </c>
      <c r="D301" s="10">
        <f>1.5/25*C301</f>
        <v>1.5</v>
      </c>
      <c r="E301" s="10">
        <f>0.5/25*C301</f>
        <v>0.5</v>
      </c>
      <c r="F301" s="10">
        <f>10.2/25*C301</f>
        <v>10.199999999999999</v>
      </c>
      <c r="G301" s="10">
        <f>52/25*C301</f>
        <v>52</v>
      </c>
      <c r="H301" s="10">
        <f>0.1/25*C301</f>
        <v>0.1</v>
      </c>
      <c r="I301" s="10">
        <f>0.08/25*C301</f>
        <v>0.08</v>
      </c>
      <c r="J301" s="10">
        <v>0</v>
      </c>
      <c r="K301" s="10">
        <v>0</v>
      </c>
      <c r="L301" s="10">
        <f>0.1/25*C301</f>
        <v>0.1</v>
      </c>
      <c r="M301" s="10">
        <f>41.5/25*C301</f>
        <v>41.5</v>
      </c>
      <c r="N301" s="10">
        <f>19.75/25*C301</f>
        <v>19.75</v>
      </c>
      <c r="O301" s="10">
        <f>10/25*C301</f>
        <v>10</v>
      </c>
      <c r="P301" s="10">
        <f>31.25/25*C301</f>
        <v>31.25</v>
      </c>
      <c r="Q301" s="10">
        <f>10/25*C301</f>
        <v>10</v>
      </c>
      <c r="R301" s="10">
        <f>0.7/25*C301</f>
        <v>0.7</v>
      </c>
      <c r="S301" s="172">
        <f>7.73/25*C301</f>
        <v>7.73</v>
      </c>
      <c r="T301" s="10">
        <f>12.75/25*C301</f>
        <v>12.75</v>
      </c>
    </row>
    <row r="302" spans="1:20" ht="15" customHeight="1" x14ac:dyDescent="0.25">
      <c r="A302" s="15" t="s">
        <v>124</v>
      </c>
      <c r="B302" s="32" t="s">
        <v>24</v>
      </c>
      <c r="C302" s="16">
        <v>45</v>
      </c>
      <c r="D302" s="25">
        <v>1.4</v>
      </c>
      <c r="E302" s="25">
        <f>0.4/45*C302</f>
        <v>0.4</v>
      </c>
      <c r="F302" s="25">
        <f>22.1/45*C302</f>
        <v>22.1</v>
      </c>
      <c r="G302" s="25">
        <f>105.8/45*C302</f>
        <v>105.8</v>
      </c>
      <c r="H302" s="25">
        <f>0.05/45*C302</f>
        <v>0.05</v>
      </c>
      <c r="I302" s="25">
        <f>0.01/45*C302</f>
        <v>0.01</v>
      </c>
      <c r="J302" s="25">
        <v>0</v>
      </c>
      <c r="K302" s="25">
        <v>0</v>
      </c>
      <c r="L302" s="25">
        <v>0</v>
      </c>
      <c r="M302" s="25">
        <f>46.5/45*C302</f>
        <v>46.500000000000007</v>
      </c>
      <c r="N302" s="27">
        <f>10/45*C302</f>
        <v>10</v>
      </c>
      <c r="O302" s="27">
        <f>7/45*C302</f>
        <v>7</v>
      </c>
      <c r="P302" s="27">
        <f>32.5/45*C302</f>
        <v>32.5</v>
      </c>
      <c r="Q302" s="27">
        <f>1.6/45*C302</f>
        <v>1.6</v>
      </c>
      <c r="R302" s="27">
        <f>0.55/45*C302</f>
        <v>0.55000000000000004</v>
      </c>
      <c r="S302" s="166">
        <f>3/45*C302</f>
        <v>3</v>
      </c>
      <c r="T302" s="27">
        <f>7.5/45*C302</f>
        <v>7.5</v>
      </c>
    </row>
    <row r="303" spans="1:20" ht="15" customHeight="1" x14ac:dyDescent="0.25">
      <c r="A303" s="15"/>
      <c r="B303" s="4"/>
      <c r="C303" s="16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2"/>
      <c r="O303" s="12"/>
      <c r="P303" s="12"/>
      <c r="Q303" s="12"/>
      <c r="R303" s="12"/>
      <c r="S303" s="157"/>
      <c r="T303" s="12"/>
    </row>
    <row r="304" spans="1:20" ht="15" customHeight="1" x14ac:dyDescent="0.25">
      <c r="A304" s="17"/>
      <c r="B304" s="6" t="s">
        <v>25</v>
      </c>
      <c r="C304" s="17">
        <f t="shared" ref="C304:T304" si="40">SUM(C298:C302)</f>
        <v>500</v>
      </c>
      <c r="D304" s="82">
        <f t="shared" si="40"/>
        <v>18.799999999999997</v>
      </c>
      <c r="E304" s="82">
        <f t="shared" si="40"/>
        <v>17.509999999999998</v>
      </c>
      <c r="F304" s="82">
        <f t="shared" si="40"/>
        <v>73.77000000000001</v>
      </c>
      <c r="G304" s="82">
        <f t="shared" si="40"/>
        <v>502.59000000000003</v>
      </c>
      <c r="H304" s="82">
        <f t="shared" si="40"/>
        <v>66.34099999999998</v>
      </c>
      <c r="I304" s="82">
        <f t="shared" si="40"/>
        <v>0.33700000000000002</v>
      </c>
      <c r="J304" s="82">
        <f t="shared" si="40"/>
        <v>104.09</v>
      </c>
      <c r="K304" s="82">
        <f t="shared" si="40"/>
        <v>0.26</v>
      </c>
      <c r="L304" s="82">
        <f t="shared" si="40"/>
        <v>0.95000000000000007</v>
      </c>
      <c r="M304" s="82">
        <f t="shared" si="40"/>
        <v>373.43</v>
      </c>
      <c r="N304" s="82">
        <f t="shared" si="40"/>
        <v>215.85</v>
      </c>
      <c r="O304" s="83">
        <f t="shared" si="40"/>
        <v>54.89</v>
      </c>
      <c r="P304" s="83">
        <f t="shared" si="40"/>
        <v>253.35</v>
      </c>
      <c r="Q304" s="83">
        <f t="shared" si="40"/>
        <v>13.956999999999999</v>
      </c>
      <c r="R304" s="83">
        <f t="shared" si="40"/>
        <v>55.2</v>
      </c>
      <c r="S304" s="158">
        <f t="shared" si="40"/>
        <v>22.198</v>
      </c>
      <c r="T304" s="83">
        <f t="shared" si="40"/>
        <v>51.55</v>
      </c>
    </row>
    <row r="305" spans="1:20" ht="15" customHeight="1" x14ac:dyDescent="0.25">
      <c r="A305" s="289" t="s">
        <v>26</v>
      </c>
      <c r="B305" s="297"/>
      <c r="C305" s="297"/>
      <c r="D305" s="297"/>
      <c r="E305" s="297"/>
      <c r="F305" s="297"/>
      <c r="G305" s="297"/>
      <c r="H305" s="312"/>
      <c r="I305" s="312"/>
      <c r="J305" s="312"/>
      <c r="K305" s="312"/>
      <c r="L305" s="312"/>
      <c r="M305" s="313"/>
      <c r="N305" s="313"/>
      <c r="O305" s="313"/>
      <c r="P305" s="313"/>
      <c r="Q305" s="313"/>
      <c r="R305" s="313"/>
      <c r="S305" s="313"/>
      <c r="T305" s="314"/>
    </row>
    <row r="306" spans="1:20" ht="15" customHeight="1" x14ac:dyDescent="0.25">
      <c r="A306" s="8" t="s">
        <v>126</v>
      </c>
      <c r="B306" s="5" t="s">
        <v>39</v>
      </c>
      <c r="C306" s="24">
        <v>60</v>
      </c>
      <c r="D306" s="25">
        <f>0.5/60*C306</f>
        <v>0.5</v>
      </c>
      <c r="E306" s="25">
        <f>0.1/60*C306</f>
        <v>0.1</v>
      </c>
      <c r="F306" s="25">
        <f>1.5/60*C306</f>
        <v>1.5</v>
      </c>
      <c r="G306" s="86">
        <f>8.5/60*C306</f>
        <v>8.5</v>
      </c>
      <c r="H306" s="216">
        <f>0.02/60*C306</f>
        <v>0.02</v>
      </c>
      <c r="I306" s="216">
        <f>0.02/60*C306</f>
        <v>0.02</v>
      </c>
      <c r="J306" s="216">
        <f>6/60*C306</f>
        <v>6</v>
      </c>
      <c r="K306" s="216">
        <v>0</v>
      </c>
      <c r="L306" s="216">
        <f>6/60*C306</f>
        <v>6</v>
      </c>
      <c r="M306" s="216">
        <f>85/60*C306</f>
        <v>85</v>
      </c>
      <c r="N306" s="216">
        <f>14/60*C306</f>
        <v>14</v>
      </c>
      <c r="O306" s="216">
        <f>8.4/60*C306</f>
        <v>8.4</v>
      </c>
      <c r="P306" s="216">
        <f>25/60*C306</f>
        <v>25</v>
      </c>
      <c r="Q306" s="216">
        <f>0.36/60*C306</f>
        <v>0.36</v>
      </c>
      <c r="R306" s="216">
        <f>1.8/60*C306</f>
        <v>1.8</v>
      </c>
      <c r="S306" s="261">
        <f>0.18/60*C306</f>
        <v>0.18</v>
      </c>
      <c r="T306" s="219">
        <f>10/60*C306</f>
        <v>10</v>
      </c>
    </row>
    <row r="307" spans="1:20" ht="15" customHeight="1" x14ac:dyDescent="0.25">
      <c r="A307" s="268" t="s">
        <v>128</v>
      </c>
      <c r="B307" s="88" t="s">
        <v>70</v>
      </c>
      <c r="C307" s="28">
        <v>250</v>
      </c>
      <c r="D307" s="21">
        <f>4.7/200*C307</f>
        <v>5.875</v>
      </c>
      <c r="E307" s="21">
        <f>5.7/200*C307</f>
        <v>7.125</v>
      </c>
      <c r="F307" s="21">
        <f>10.1/200*C307</f>
        <v>12.624999999999998</v>
      </c>
      <c r="G307" s="89">
        <f>110.4/200*C307</f>
        <v>138</v>
      </c>
      <c r="H307" s="61">
        <f>0.03/200*C307</f>
        <v>3.7499999999999999E-2</v>
      </c>
      <c r="I307" s="61">
        <f>0.04/200*C307</f>
        <v>0.05</v>
      </c>
      <c r="J307" s="61">
        <f>134.6/200*C307</f>
        <v>168.24999999999997</v>
      </c>
      <c r="K307" s="61">
        <v>0</v>
      </c>
      <c r="L307" s="61">
        <f>6.76/200*C307</f>
        <v>8.4499999999999993</v>
      </c>
      <c r="M307" s="61">
        <f>246.6/200*C307</f>
        <v>308.24999999999994</v>
      </c>
      <c r="N307" s="61">
        <f>33.6/200*C307</f>
        <v>42</v>
      </c>
      <c r="O307" s="61">
        <f>19.2/200*C307</f>
        <v>24</v>
      </c>
      <c r="P307" s="61">
        <f>42.6/200*C307</f>
        <v>53.25</v>
      </c>
      <c r="Q307" s="61">
        <f>0.87/200*C307</f>
        <v>1.0874999999999999</v>
      </c>
      <c r="R307" s="61">
        <f>17.2/200*C307</f>
        <v>21.5</v>
      </c>
      <c r="S307" s="133">
        <f>0.39/200*C307</f>
        <v>0.48750000000000004</v>
      </c>
      <c r="T307" s="61">
        <f>22.6/200*C307</f>
        <v>28.25</v>
      </c>
    </row>
    <row r="308" spans="1:20" ht="15" customHeight="1" x14ac:dyDescent="0.25">
      <c r="A308" s="22" t="s">
        <v>181</v>
      </c>
      <c r="B308" s="84" t="s">
        <v>62</v>
      </c>
      <c r="C308" s="70">
        <v>200</v>
      </c>
      <c r="D308" s="85">
        <f>11.3/200*C308</f>
        <v>11.3</v>
      </c>
      <c r="E308" s="85">
        <v>18.7</v>
      </c>
      <c r="F308" s="85">
        <v>27.3</v>
      </c>
      <c r="G308" s="85">
        <v>388.8</v>
      </c>
      <c r="H308" s="85">
        <v>0.13</v>
      </c>
      <c r="I308" s="85">
        <v>0.19</v>
      </c>
      <c r="J308" s="85">
        <v>27.3</v>
      </c>
      <c r="K308" s="85">
        <v>0.08</v>
      </c>
      <c r="L308" s="85">
        <v>9.5299999999999994</v>
      </c>
      <c r="M308" s="85">
        <v>821</v>
      </c>
      <c r="N308" s="85">
        <v>26</v>
      </c>
      <c r="O308" s="7">
        <v>45</v>
      </c>
      <c r="P308" s="7">
        <v>231</v>
      </c>
      <c r="Q308" s="7">
        <v>45</v>
      </c>
      <c r="R308" s="7">
        <v>3.43</v>
      </c>
      <c r="S308" s="128">
        <v>0.4</v>
      </c>
      <c r="T308" s="7">
        <v>99</v>
      </c>
    </row>
    <row r="309" spans="1:20" ht="15" customHeight="1" x14ac:dyDescent="0.25">
      <c r="A309" s="8" t="s">
        <v>170</v>
      </c>
      <c r="B309" s="32" t="s">
        <v>169</v>
      </c>
      <c r="C309" s="9">
        <v>200</v>
      </c>
      <c r="D309" s="10">
        <f>0.3/200*C309</f>
        <v>0.3</v>
      </c>
      <c r="E309" s="10">
        <v>0</v>
      </c>
      <c r="F309" s="10">
        <v>26.7</v>
      </c>
      <c r="G309" s="10">
        <f>27.9/200*C309</f>
        <v>27.9</v>
      </c>
      <c r="H309" s="10">
        <v>0</v>
      </c>
      <c r="I309" s="10">
        <f>0.04/200*C309</f>
        <v>0.04</v>
      </c>
      <c r="J309" s="10">
        <f>0.38/200*C309</f>
        <v>0.38</v>
      </c>
      <c r="K309" s="10">
        <v>0</v>
      </c>
      <c r="L309" s="10">
        <f>1.16/200*C309</f>
        <v>1.1599999999999999</v>
      </c>
      <c r="M309" s="11">
        <f>30.2/200*C309</f>
        <v>30.2</v>
      </c>
      <c r="N309" s="12">
        <f>6.9/200*C309</f>
        <v>6.9</v>
      </c>
      <c r="O309" s="12">
        <f>4.6/200*C309</f>
        <v>4.5999999999999996</v>
      </c>
      <c r="P309" s="12">
        <f>8.5/200*C309</f>
        <v>8.5</v>
      </c>
      <c r="Q309" s="12">
        <f>0.77/200*C309</f>
        <v>0.77</v>
      </c>
      <c r="R309" s="12">
        <v>0</v>
      </c>
      <c r="S309" s="157">
        <f>0.02/200*C309</f>
        <v>0.02</v>
      </c>
      <c r="T309" s="12">
        <f>0.7/200*C309</f>
        <v>0.7</v>
      </c>
    </row>
    <row r="310" spans="1:20" ht="15" customHeight="1" x14ac:dyDescent="0.25">
      <c r="A310" s="95" t="s">
        <v>124</v>
      </c>
      <c r="B310" s="35" t="s">
        <v>23</v>
      </c>
      <c r="C310" s="6">
        <v>60</v>
      </c>
      <c r="D310" s="10">
        <f>1.5/25*C310</f>
        <v>3.5999999999999996</v>
      </c>
      <c r="E310" s="10">
        <f>0.5/25*C310</f>
        <v>1.2</v>
      </c>
      <c r="F310" s="10">
        <f>10.2/25*C310</f>
        <v>24.479999999999997</v>
      </c>
      <c r="G310" s="10">
        <f>52/25*C310</f>
        <v>124.80000000000001</v>
      </c>
      <c r="H310" s="10">
        <f>0.1/25*C310</f>
        <v>0.24</v>
      </c>
      <c r="I310" s="10">
        <f>0.08/25*C310</f>
        <v>0.192</v>
      </c>
      <c r="J310" s="10">
        <v>0</v>
      </c>
      <c r="K310" s="10">
        <v>0</v>
      </c>
      <c r="L310" s="10">
        <f>0.1/25*C310</f>
        <v>0.24</v>
      </c>
      <c r="M310" s="10">
        <f>41.5/25*C310</f>
        <v>99.6</v>
      </c>
      <c r="N310" s="10">
        <f>19.75/25*C310</f>
        <v>47.400000000000006</v>
      </c>
      <c r="O310" s="10">
        <f>10/25*C310</f>
        <v>24</v>
      </c>
      <c r="P310" s="10">
        <f>31.25/25*C310</f>
        <v>75</v>
      </c>
      <c r="Q310" s="10">
        <f>10/25*C310</f>
        <v>24</v>
      </c>
      <c r="R310" s="10">
        <f>0.7/25*C310</f>
        <v>1.6799999999999997</v>
      </c>
      <c r="S310" s="172">
        <f>7.73/25*C310</f>
        <v>18.552000000000003</v>
      </c>
      <c r="T310" s="10">
        <f>12.75/25*C310</f>
        <v>30.6</v>
      </c>
    </row>
    <row r="311" spans="1:20" ht="15" customHeight="1" x14ac:dyDescent="0.25">
      <c r="A311" s="95" t="s">
        <v>124</v>
      </c>
      <c r="B311" s="32" t="s">
        <v>24</v>
      </c>
      <c r="C311" s="16">
        <v>30</v>
      </c>
      <c r="D311" s="25">
        <f>3.4/45*C311</f>
        <v>2.2666666666666666</v>
      </c>
      <c r="E311" s="25">
        <f>0.4/45*C311</f>
        <v>0.26666666666666666</v>
      </c>
      <c r="F311" s="25">
        <f>22.1/45*C311</f>
        <v>14.733333333333334</v>
      </c>
      <c r="G311" s="25">
        <f>105.8/45*C311</f>
        <v>70.533333333333331</v>
      </c>
      <c r="H311" s="25">
        <f>0.05/45*C311</f>
        <v>3.3333333333333333E-2</v>
      </c>
      <c r="I311" s="25">
        <f>0.01/45*C311</f>
        <v>6.6666666666666671E-3</v>
      </c>
      <c r="J311" s="25">
        <v>0</v>
      </c>
      <c r="K311" s="25">
        <v>0</v>
      </c>
      <c r="L311" s="25">
        <v>0</v>
      </c>
      <c r="M311" s="25">
        <f>46.5/45*C311</f>
        <v>31.000000000000004</v>
      </c>
      <c r="N311" s="27">
        <f>10/45*C311</f>
        <v>6.6666666666666661</v>
      </c>
      <c r="O311" s="27">
        <f>7/45*C311</f>
        <v>4.666666666666667</v>
      </c>
      <c r="P311" s="27">
        <f>32.5/45*C311</f>
        <v>21.666666666666668</v>
      </c>
      <c r="Q311" s="27">
        <f>1.6/45*C311</f>
        <v>1.0666666666666667</v>
      </c>
      <c r="R311" s="27">
        <f>0.55/45*C311</f>
        <v>0.3666666666666667</v>
      </c>
      <c r="S311" s="166">
        <f>3/45*C311</f>
        <v>2</v>
      </c>
      <c r="T311" s="27">
        <f>7.5/45*C311</f>
        <v>5</v>
      </c>
    </row>
    <row r="312" spans="1:20" ht="15" customHeight="1" x14ac:dyDescent="0.25">
      <c r="A312" s="95"/>
      <c r="B312" s="101"/>
      <c r="C312" s="102"/>
      <c r="D312" s="103"/>
      <c r="E312" s="103"/>
      <c r="F312" s="103"/>
      <c r="G312" s="103"/>
      <c r="H312" s="96"/>
      <c r="I312" s="11"/>
      <c r="J312" s="11"/>
      <c r="K312" s="11"/>
      <c r="L312" s="11"/>
      <c r="M312" s="11"/>
      <c r="N312" s="12"/>
      <c r="O312" s="12"/>
      <c r="P312" s="12"/>
      <c r="Q312" s="12"/>
      <c r="R312" s="12"/>
      <c r="S312" s="157"/>
      <c r="T312" s="12"/>
    </row>
    <row r="313" spans="1:20" ht="15" customHeight="1" x14ac:dyDescent="0.25">
      <c r="A313" s="4"/>
      <c r="B313" s="71" t="s">
        <v>29</v>
      </c>
      <c r="C313" s="98">
        <f t="shared" ref="C313:T313" si="41">SUM(C306:C312)</f>
        <v>800</v>
      </c>
      <c r="D313" s="75">
        <f t="shared" si="41"/>
        <v>23.841666666666669</v>
      </c>
      <c r="E313" s="71">
        <f t="shared" si="41"/>
        <v>27.391666666666662</v>
      </c>
      <c r="F313" s="71">
        <f t="shared" si="41"/>
        <v>107.33833333333332</v>
      </c>
      <c r="G313" s="75">
        <f t="shared" si="41"/>
        <v>758.5333333333333</v>
      </c>
      <c r="H313" s="75">
        <f t="shared" si="41"/>
        <v>0.46083333333333332</v>
      </c>
      <c r="I313" s="75">
        <f t="shared" si="41"/>
        <v>0.49866666666666665</v>
      </c>
      <c r="J313" s="71">
        <f t="shared" si="41"/>
        <v>201.92999999999998</v>
      </c>
      <c r="K313" s="71">
        <f t="shared" si="41"/>
        <v>0.08</v>
      </c>
      <c r="L313" s="71">
        <f t="shared" si="41"/>
        <v>25.379999999999995</v>
      </c>
      <c r="M313" s="71">
        <f t="shared" si="41"/>
        <v>1375.05</v>
      </c>
      <c r="N313" s="71">
        <f t="shared" si="41"/>
        <v>142.96666666666667</v>
      </c>
      <c r="O313" s="71">
        <f t="shared" si="41"/>
        <v>110.66666666666667</v>
      </c>
      <c r="P313" s="71">
        <f t="shared" si="41"/>
        <v>414.41666666666669</v>
      </c>
      <c r="Q313" s="71">
        <f t="shared" si="41"/>
        <v>72.284166666666664</v>
      </c>
      <c r="R313" s="71">
        <f t="shared" si="41"/>
        <v>28.776666666666667</v>
      </c>
      <c r="S313" s="71">
        <f t="shared" si="41"/>
        <v>21.639500000000002</v>
      </c>
      <c r="T313" s="71">
        <f t="shared" si="41"/>
        <v>173.54999999999998</v>
      </c>
    </row>
    <row r="314" spans="1:20" ht="15" customHeight="1" x14ac:dyDescent="0.25">
      <c r="A314" s="289" t="s">
        <v>30</v>
      </c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318"/>
    </row>
    <row r="315" spans="1:20" ht="15" customHeight="1" x14ac:dyDescent="0.25">
      <c r="A315" s="8" t="s">
        <v>150</v>
      </c>
      <c r="B315" s="32" t="s">
        <v>36</v>
      </c>
      <c r="C315" s="9">
        <v>150</v>
      </c>
      <c r="D315" s="10">
        <f>3.8/200*C315</f>
        <v>2.85</v>
      </c>
      <c r="E315" s="10">
        <f>2.9/200*C315</f>
        <v>2.1749999999999998</v>
      </c>
      <c r="F315" s="10">
        <f>11.3/200*C315</f>
        <v>8.4749999999999996</v>
      </c>
      <c r="G315" s="10">
        <f>86/200*C315</f>
        <v>64.5</v>
      </c>
      <c r="H315" s="10">
        <f>0.03/200*C315</f>
        <v>2.2499999999999999E-2</v>
      </c>
      <c r="I315" s="10">
        <f>0.13/200*C315</f>
        <v>9.7499999999999989E-2</v>
      </c>
      <c r="J315" s="10">
        <f>13.3/200*C315</f>
        <v>9.9750000000000014</v>
      </c>
      <c r="K315" s="10">
        <v>0</v>
      </c>
      <c r="L315" s="10">
        <f>0.52/200*C315</f>
        <v>0.38999999999999996</v>
      </c>
      <c r="M315" s="11">
        <f>184/200*C315</f>
        <v>138</v>
      </c>
      <c r="N315" s="12">
        <f>111/200*C315</f>
        <v>83.250000000000014</v>
      </c>
      <c r="O315" s="12">
        <f>31/200*C315</f>
        <v>23.25</v>
      </c>
      <c r="P315" s="12">
        <f>107/200*C315</f>
        <v>80.25</v>
      </c>
      <c r="Q315" s="12">
        <f>1.07/200*C315</f>
        <v>0.8025000000000001</v>
      </c>
      <c r="R315" s="12">
        <f>9/200*C315</f>
        <v>6.75</v>
      </c>
      <c r="S315" s="157">
        <f>1.76/200*C315</f>
        <v>1.32</v>
      </c>
      <c r="T315" s="12">
        <f>20/200*C315</f>
        <v>15</v>
      </c>
    </row>
    <row r="316" spans="1:20" ht="15" customHeight="1" x14ac:dyDescent="0.25">
      <c r="A316" s="4">
        <v>125</v>
      </c>
      <c r="B316" s="32" t="s">
        <v>46</v>
      </c>
      <c r="C316" s="28">
        <v>150</v>
      </c>
      <c r="D316" s="56">
        <v>8.5</v>
      </c>
      <c r="E316" s="56">
        <f>11.7/200*C316</f>
        <v>8.7749999999999986</v>
      </c>
      <c r="F316" s="56">
        <f>43.56/200*C316</f>
        <v>32.67</v>
      </c>
      <c r="G316" s="56">
        <f>351/200*C316</f>
        <v>263.25</v>
      </c>
      <c r="H316" s="56">
        <f>111.3/200*C316</f>
        <v>83.474999999999994</v>
      </c>
      <c r="I316" s="56">
        <f>0.2/200*C316</f>
        <v>0.15</v>
      </c>
      <c r="J316" s="56">
        <v>0</v>
      </c>
      <c r="K316" s="56">
        <v>0</v>
      </c>
      <c r="L316" s="56">
        <f>0.26/200*C316</f>
        <v>0.19499999999999998</v>
      </c>
      <c r="M316" s="57">
        <v>0</v>
      </c>
      <c r="N316" s="57">
        <f>20.54/200*C316</f>
        <v>15.404999999999999</v>
      </c>
      <c r="O316" s="57">
        <f>1.07/200*C316</f>
        <v>0.8025000000000001</v>
      </c>
      <c r="P316" s="12">
        <v>0</v>
      </c>
      <c r="Q316" s="12">
        <f>1.2/200*C316</f>
        <v>0.9</v>
      </c>
      <c r="R316" s="12">
        <v>0</v>
      </c>
      <c r="S316" s="157">
        <v>0</v>
      </c>
      <c r="T316" s="12">
        <f>10/200*C316</f>
        <v>7.5</v>
      </c>
    </row>
    <row r="317" spans="1:20" ht="15" customHeight="1" x14ac:dyDescent="0.25">
      <c r="A317" s="4"/>
      <c r="B317" s="4"/>
      <c r="C317" s="29"/>
      <c r="D317" s="30"/>
      <c r="E317" s="30"/>
      <c r="F317" s="30"/>
      <c r="G317" s="30"/>
      <c r="H317" s="30"/>
      <c r="I317" s="30"/>
      <c r="J317" s="31"/>
      <c r="K317" s="30"/>
      <c r="L317" s="30"/>
      <c r="M317" s="30"/>
      <c r="N317" s="30"/>
      <c r="O317" s="30"/>
      <c r="P317" s="30"/>
      <c r="Q317" s="30"/>
      <c r="R317" s="30"/>
      <c r="S317" s="161"/>
      <c r="T317" s="30"/>
    </row>
    <row r="318" spans="1:20" ht="15" customHeight="1" x14ac:dyDescent="0.25">
      <c r="A318" s="4"/>
      <c r="B318" s="28" t="s">
        <v>32</v>
      </c>
      <c r="C318" s="29">
        <f>SUM(C315:C316)</f>
        <v>300</v>
      </c>
      <c r="D318" s="30">
        <f>SUM(D315:D316)</f>
        <v>11.35</v>
      </c>
      <c r="E318" s="30">
        <f t="shared" ref="E318:Q318" si="42">SUM(E315:E316)</f>
        <v>10.95</v>
      </c>
      <c r="F318" s="30">
        <f t="shared" si="42"/>
        <v>41.145000000000003</v>
      </c>
      <c r="G318" s="30">
        <f t="shared" si="42"/>
        <v>327.75</v>
      </c>
      <c r="H318" s="30">
        <f t="shared" si="42"/>
        <v>83.497499999999988</v>
      </c>
      <c r="I318" s="30">
        <f t="shared" si="42"/>
        <v>0.2475</v>
      </c>
      <c r="J318" s="30">
        <f t="shared" si="42"/>
        <v>9.9750000000000014</v>
      </c>
      <c r="K318" s="30">
        <f t="shared" si="42"/>
        <v>0</v>
      </c>
      <c r="L318" s="30">
        <f t="shared" si="42"/>
        <v>0.58499999999999996</v>
      </c>
      <c r="M318" s="30">
        <f t="shared" si="42"/>
        <v>138</v>
      </c>
      <c r="N318" s="30">
        <f t="shared" si="42"/>
        <v>98.655000000000015</v>
      </c>
      <c r="O318" s="30">
        <f t="shared" si="42"/>
        <v>24.052499999999998</v>
      </c>
      <c r="P318" s="30">
        <f t="shared" si="42"/>
        <v>80.25</v>
      </c>
      <c r="Q318" s="30">
        <f t="shared" si="42"/>
        <v>1.7025000000000001</v>
      </c>
      <c r="R318" s="30">
        <f>SUM(R315:R316)</f>
        <v>6.75</v>
      </c>
      <c r="S318" s="161">
        <f>SUM(S315:S316)</f>
        <v>1.32</v>
      </c>
      <c r="T318" s="30">
        <f>SUM(T315:T316)</f>
        <v>22.5</v>
      </c>
    </row>
    <row r="319" spans="1:20" ht="15" customHeight="1" x14ac:dyDescent="0.25">
      <c r="A319" s="4"/>
      <c r="B319" s="28" t="s">
        <v>33</v>
      </c>
      <c r="C319" s="29">
        <f t="shared" ref="C319:Q319" si="43">C318+C313+C304</f>
        <v>1600</v>
      </c>
      <c r="D319" s="30">
        <f t="shared" si="43"/>
        <v>53.991666666666667</v>
      </c>
      <c r="E319" s="29">
        <f t="shared" si="43"/>
        <v>55.851666666666659</v>
      </c>
      <c r="F319" s="29">
        <f t="shared" si="43"/>
        <v>222.25333333333333</v>
      </c>
      <c r="G319" s="30">
        <f t="shared" si="43"/>
        <v>1588.8733333333334</v>
      </c>
      <c r="H319" s="29">
        <f t="shared" si="43"/>
        <v>150.29933333333329</v>
      </c>
      <c r="I319" s="29">
        <f t="shared" si="43"/>
        <v>1.0831666666666666</v>
      </c>
      <c r="J319" s="29">
        <f t="shared" si="43"/>
        <v>315.995</v>
      </c>
      <c r="K319" s="29">
        <f t="shared" si="43"/>
        <v>0.34</v>
      </c>
      <c r="L319" s="29">
        <f t="shared" si="43"/>
        <v>26.914999999999996</v>
      </c>
      <c r="M319" s="29">
        <f t="shared" si="43"/>
        <v>1886.48</v>
      </c>
      <c r="N319" s="29">
        <f t="shared" si="43"/>
        <v>457.47166666666669</v>
      </c>
      <c r="O319" s="29">
        <f t="shared" si="43"/>
        <v>189.60916666666668</v>
      </c>
      <c r="P319" s="29">
        <f t="shared" si="43"/>
        <v>748.01666666666665</v>
      </c>
      <c r="Q319" s="29">
        <f t="shared" si="43"/>
        <v>87.943666666666658</v>
      </c>
      <c r="R319" s="29">
        <f>R318+R313+R304</f>
        <v>90.726666666666674</v>
      </c>
      <c r="S319" s="162">
        <f>S318+S313+S304</f>
        <v>45.157499999999999</v>
      </c>
      <c r="T319" s="29">
        <f>T318+T313+T304</f>
        <v>247.59999999999997</v>
      </c>
    </row>
    <row r="320" spans="1:20" ht="15" customHeight="1" x14ac:dyDescent="0.25">
      <c r="A320" s="293" t="s">
        <v>16</v>
      </c>
      <c r="B320" s="294"/>
      <c r="C320" s="294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307"/>
    </row>
    <row r="321" spans="1:20" ht="15" customHeight="1" x14ac:dyDescent="0.25">
      <c r="A321" s="293" t="s">
        <v>199</v>
      </c>
      <c r="B321" s="294"/>
      <c r="C321" s="294"/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  <c r="Q321" s="294"/>
      <c r="R321" s="294"/>
      <c r="S321" s="294"/>
      <c r="T321" s="307"/>
    </row>
    <row r="322" spans="1:20" ht="15" customHeight="1" x14ac:dyDescent="0.25">
      <c r="A322" s="285" t="s">
        <v>18</v>
      </c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308"/>
    </row>
    <row r="323" spans="1:20" ht="15" customHeight="1" x14ac:dyDescent="0.25">
      <c r="A323" s="287" t="s">
        <v>19</v>
      </c>
      <c r="B323" s="288"/>
      <c r="C323" s="288"/>
      <c r="D323" s="288"/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311"/>
    </row>
    <row r="324" spans="1:20" ht="15" customHeight="1" x14ac:dyDescent="0.25">
      <c r="A324" s="8" t="s">
        <v>161</v>
      </c>
      <c r="B324" s="5" t="s">
        <v>69</v>
      </c>
      <c r="C324" s="24">
        <v>220</v>
      </c>
      <c r="D324" s="10">
        <f>6.12/250*C324</f>
        <v>5.3856000000000002</v>
      </c>
      <c r="E324" s="10">
        <v>8</v>
      </c>
      <c r="F324" s="10">
        <f>22.98/250*C324</f>
        <v>20.2224</v>
      </c>
      <c r="G324" s="10">
        <f>166.85/250*C324</f>
        <v>146.828</v>
      </c>
      <c r="H324" s="10">
        <f>0.66/250*C324</f>
        <v>0.58079999999999998</v>
      </c>
      <c r="I324" s="10">
        <f>0.22/250*C324</f>
        <v>0.19359999999999999</v>
      </c>
      <c r="J324" s="10">
        <f>29.75/250*C324</f>
        <v>26.18</v>
      </c>
      <c r="K324" s="10">
        <f>0.03/250*C324</f>
        <v>2.6399999999999996E-2</v>
      </c>
      <c r="L324" s="10">
        <f>0.91/250*C324</f>
        <v>0.80079999999999996</v>
      </c>
      <c r="M324" s="10">
        <f>229.25/250*C324</f>
        <v>201.74</v>
      </c>
      <c r="N324" s="10">
        <f>187.5/250*C324</f>
        <v>165</v>
      </c>
      <c r="O324" s="10">
        <f>30/250*C324</f>
        <v>26.4</v>
      </c>
      <c r="P324" s="10">
        <f>164/250*C324</f>
        <v>144.32</v>
      </c>
      <c r="Q324" s="10">
        <f>0.35/250*C324</f>
        <v>0.308</v>
      </c>
      <c r="R324" s="10">
        <f>26/250*C324</f>
        <v>22.88</v>
      </c>
      <c r="S324" s="172">
        <f>5.75/250*C324</f>
        <v>5.0599999999999996</v>
      </c>
      <c r="T324" s="10">
        <f>45/250*C324</f>
        <v>39.6</v>
      </c>
    </row>
    <row r="325" spans="1:20" ht="15" customHeight="1" x14ac:dyDescent="0.25">
      <c r="A325" s="8" t="s">
        <v>150</v>
      </c>
      <c r="B325" s="32" t="s">
        <v>36</v>
      </c>
      <c r="C325" s="9">
        <v>200</v>
      </c>
      <c r="D325" s="10">
        <f>3.8/200*C325</f>
        <v>3.8</v>
      </c>
      <c r="E325" s="10">
        <f>2.9/200*C325</f>
        <v>2.9</v>
      </c>
      <c r="F325" s="10">
        <v>15.3</v>
      </c>
      <c r="G325" s="10">
        <v>186</v>
      </c>
      <c r="H325" s="10">
        <f>0.03/200*C325</f>
        <v>0.03</v>
      </c>
      <c r="I325" s="10">
        <f>0.13/200*C325</f>
        <v>0.13</v>
      </c>
      <c r="J325" s="10">
        <f>13.3/200*C325</f>
        <v>13.3</v>
      </c>
      <c r="K325" s="10">
        <v>0</v>
      </c>
      <c r="L325" s="10">
        <f>0.52/200*C325</f>
        <v>0.52</v>
      </c>
      <c r="M325" s="11">
        <f>184/200*C325</f>
        <v>184</v>
      </c>
      <c r="N325" s="12">
        <f>111/200*C325</f>
        <v>111.00000000000001</v>
      </c>
      <c r="O325" s="12">
        <f>31/200*C325</f>
        <v>31</v>
      </c>
      <c r="P325" s="12">
        <f>107/200*C325</f>
        <v>107</v>
      </c>
      <c r="Q325" s="12">
        <f>1.07/200*C325</f>
        <v>1.07</v>
      </c>
      <c r="R325" s="12">
        <f>9/200*C325</f>
        <v>9</v>
      </c>
      <c r="S325" s="157">
        <f>1.76/200*C325</f>
        <v>1.76</v>
      </c>
      <c r="T325" s="12">
        <f>20/200*C325</f>
        <v>20</v>
      </c>
    </row>
    <row r="326" spans="1:20" ht="15" customHeight="1" x14ac:dyDescent="0.25">
      <c r="A326" s="14" t="s">
        <v>135</v>
      </c>
      <c r="B326" s="35" t="s">
        <v>22</v>
      </c>
      <c r="C326" s="6">
        <v>15</v>
      </c>
      <c r="D326" s="7">
        <f>3.5/15*C326</f>
        <v>3.5</v>
      </c>
      <c r="E326" s="7">
        <f>4.4/15*C326</f>
        <v>4.4000000000000004</v>
      </c>
      <c r="F326" s="7">
        <v>0</v>
      </c>
      <c r="G326" s="7">
        <f>53.7/15*C326</f>
        <v>53.7</v>
      </c>
      <c r="H326" s="7">
        <f>0.01/15*C326</f>
        <v>0.01</v>
      </c>
      <c r="I326" s="7">
        <f>0.05/15*C326</f>
        <v>0.05</v>
      </c>
      <c r="J326" s="7">
        <f>39/15*C326</f>
        <v>39</v>
      </c>
      <c r="K326" s="7">
        <f>0.15/15*C326</f>
        <v>0.15</v>
      </c>
      <c r="L326" s="7">
        <f>0.11/15*C326</f>
        <v>0.11</v>
      </c>
      <c r="M326" s="7">
        <f>13/15*C326</f>
        <v>13</v>
      </c>
      <c r="N326" s="7">
        <f>132/15*C326</f>
        <v>132</v>
      </c>
      <c r="O326" s="7">
        <f>5.3/15*C326</f>
        <v>5.3</v>
      </c>
      <c r="P326" s="7">
        <f>75/15*C326</f>
        <v>75</v>
      </c>
      <c r="Q326" s="7">
        <f>0.15/15*C326</f>
        <v>0.15</v>
      </c>
      <c r="R326" s="7">
        <v>0</v>
      </c>
      <c r="S326" s="128">
        <f>2.18/15*C326</f>
        <v>2.1800000000000002</v>
      </c>
      <c r="T326" s="7">
        <v>0</v>
      </c>
    </row>
    <row r="327" spans="1:20" ht="15" customHeight="1" x14ac:dyDescent="0.25">
      <c r="A327" s="14" t="s">
        <v>124</v>
      </c>
      <c r="B327" s="35" t="s">
        <v>23</v>
      </c>
      <c r="C327" s="6">
        <v>25</v>
      </c>
      <c r="D327" s="10">
        <f>1.5/25*C327</f>
        <v>1.5</v>
      </c>
      <c r="E327" s="10">
        <f>0.5/25*C327</f>
        <v>0.5</v>
      </c>
      <c r="F327" s="10">
        <f>10.2/25*C327</f>
        <v>10.199999999999999</v>
      </c>
      <c r="G327" s="10">
        <f>52/25*C327</f>
        <v>52</v>
      </c>
      <c r="H327" s="10">
        <f>0.1/25*C327</f>
        <v>0.1</v>
      </c>
      <c r="I327" s="10">
        <f>0.08/25*C327</f>
        <v>0.08</v>
      </c>
      <c r="J327" s="10">
        <v>0</v>
      </c>
      <c r="K327" s="10">
        <v>0</v>
      </c>
      <c r="L327" s="10">
        <f>0.1/25*C327</f>
        <v>0.1</v>
      </c>
      <c r="M327" s="10">
        <f>41.5/25*C327</f>
        <v>41.5</v>
      </c>
      <c r="N327" s="10">
        <f>19.75/25*C327</f>
        <v>19.75</v>
      </c>
      <c r="O327" s="10">
        <f>10/25*C327</f>
        <v>10</v>
      </c>
      <c r="P327" s="10">
        <f>31.25/25*C327</f>
        <v>31.25</v>
      </c>
      <c r="Q327" s="10">
        <f>10/25*C327</f>
        <v>10</v>
      </c>
      <c r="R327" s="10">
        <f>0.7/25*C327</f>
        <v>0.7</v>
      </c>
      <c r="S327" s="172">
        <f>7.73/25*C327</f>
        <v>7.73</v>
      </c>
      <c r="T327" s="10">
        <f>12.75/25*C327</f>
        <v>12.75</v>
      </c>
    </row>
    <row r="328" spans="1:20" ht="15" customHeight="1" x14ac:dyDescent="0.25">
      <c r="A328" s="14" t="s">
        <v>124</v>
      </c>
      <c r="B328" s="32" t="s">
        <v>24</v>
      </c>
      <c r="C328" s="16">
        <v>45</v>
      </c>
      <c r="D328" s="25">
        <f>3.4/45*C328</f>
        <v>3.4</v>
      </c>
      <c r="E328" s="25">
        <f>0.4/45*C328</f>
        <v>0.4</v>
      </c>
      <c r="F328" s="25">
        <v>25.1</v>
      </c>
      <c r="G328" s="25">
        <f>105.8/45*C328</f>
        <v>105.8</v>
      </c>
      <c r="H328" s="25">
        <f>0.05/45*C328</f>
        <v>0.05</v>
      </c>
      <c r="I328" s="25">
        <f>0.01/45*C328</f>
        <v>0.01</v>
      </c>
      <c r="J328" s="25">
        <v>0</v>
      </c>
      <c r="K328" s="25">
        <v>0</v>
      </c>
      <c r="L328" s="25">
        <v>0</v>
      </c>
      <c r="M328" s="25">
        <f>46.5/45*C328</f>
        <v>46.500000000000007</v>
      </c>
      <c r="N328" s="27">
        <f>10/45*C328</f>
        <v>10</v>
      </c>
      <c r="O328" s="27">
        <f>7/45*C328</f>
        <v>7</v>
      </c>
      <c r="P328" s="27">
        <f>32.5/45*C328</f>
        <v>32.5</v>
      </c>
      <c r="Q328" s="27">
        <f>1.6/45*C328</f>
        <v>1.6</v>
      </c>
      <c r="R328" s="27">
        <f>0.55/45*C328</f>
        <v>0.55000000000000004</v>
      </c>
      <c r="S328" s="166">
        <f>3/45*C328</f>
        <v>3</v>
      </c>
      <c r="T328" s="27">
        <f>7.5/45*C328</f>
        <v>7.5</v>
      </c>
    </row>
    <row r="329" spans="1:20" ht="15" customHeight="1" x14ac:dyDescent="0.25">
      <c r="A329" s="15"/>
      <c r="B329" s="4"/>
      <c r="C329" s="16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2"/>
      <c r="O329" s="12"/>
      <c r="P329" s="12"/>
      <c r="Q329" s="12"/>
      <c r="R329" s="12"/>
      <c r="S329" s="157"/>
      <c r="T329" s="12"/>
    </row>
    <row r="330" spans="1:20" ht="15" customHeight="1" x14ac:dyDescent="0.25">
      <c r="A330" s="17"/>
      <c r="B330" s="6" t="s">
        <v>25</v>
      </c>
      <c r="C330" s="17">
        <f t="shared" ref="C330:T330" si="44">SUM(C324:C328)</f>
        <v>505</v>
      </c>
      <c r="D330" s="82">
        <f t="shared" si="44"/>
        <v>17.585599999999999</v>
      </c>
      <c r="E330" s="82">
        <f t="shared" si="44"/>
        <v>16.2</v>
      </c>
      <c r="F330" s="82">
        <f t="shared" si="44"/>
        <v>70.822400000000016</v>
      </c>
      <c r="G330" s="82">
        <f t="shared" si="44"/>
        <v>544.32799999999997</v>
      </c>
      <c r="H330" s="82">
        <f t="shared" si="44"/>
        <v>0.77080000000000004</v>
      </c>
      <c r="I330" s="82">
        <f t="shared" si="44"/>
        <v>0.46360000000000001</v>
      </c>
      <c r="J330" s="82">
        <f t="shared" si="44"/>
        <v>78.48</v>
      </c>
      <c r="K330" s="82">
        <f t="shared" si="44"/>
        <v>0.1764</v>
      </c>
      <c r="L330" s="82">
        <f t="shared" si="44"/>
        <v>1.5308000000000002</v>
      </c>
      <c r="M330" s="82">
        <f t="shared" si="44"/>
        <v>486.74</v>
      </c>
      <c r="N330" s="82">
        <f t="shared" si="44"/>
        <v>437.75</v>
      </c>
      <c r="O330" s="83">
        <f t="shared" si="44"/>
        <v>79.699999999999989</v>
      </c>
      <c r="P330" s="83">
        <f t="shared" si="44"/>
        <v>390.07</v>
      </c>
      <c r="Q330" s="83">
        <f t="shared" si="44"/>
        <v>13.128</v>
      </c>
      <c r="R330" s="83">
        <f t="shared" si="44"/>
        <v>33.129999999999995</v>
      </c>
      <c r="S330" s="158">
        <f t="shared" si="44"/>
        <v>19.73</v>
      </c>
      <c r="T330" s="83">
        <f t="shared" si="44"/>
        <v>79.849999999999994</v>
      </c>
    </row>
    <row r="331" spans="1:20" ht="15" customHeight="1" x14ac:dyDescent="0.25">
      <c r="A331" s="289" t="s">
        <v>26</v>
      </c>
      <c r="B331" s="297"/>
      <c r="C331" s="297"/>
      <c r="D331" s="297"/>
      <c r="E331" s="297"/>
      <c r="F331" s="297"/>
      <c r="G331" s="297"/>
      <c r="H331" s="312"/>
      <c r="I331" s="312"/>
      <c r="J331" s="312"/>
      <c r="K331" s="312"/>
      <c r="L331" s="312"/>
      <c r="M331" s="313"/>
      <c r="N331" s="313"/>
      <c r="O331" s="313"/>
      <c r="P331" s="313"/>
      <c r="Q331" s="313"/>
      <c r="R331" s="313"/>
      <c r="S331" s="313"/>
      <c r="T331" s="314"/>
    </row>
    <row r="332" spans="1:20" ht="15" customHeight="1" x14ac:dyDescent="0.25">
      <c r="A332" s="8" t="s">
        <v>136</v>
      </c>
      <c r="B332" s="32" t="s">
        <v>74</v>
      </c>
      <c r="C332" s="9">
        <v>60</v>
      </c>
      <c r="D332" s="10">
        <f>0.6/60*C332</f>
        <v>0.6</v>
      </c>
      <c r="E332" s="10">
        <f>5.3/60*C332</f>
        <v>5.3</v>
      </c>
      <c r="F332" s="10">
        <f>4.1/60*C332</f>
        <v>4.0999999999999996</v>
      </c>
      <c r="G332" s="10">
        <f>67.1/60*C332</f>
        <v>67.099999999999994</v>
      </c>
      <c r="H332" s="222">
        <f>0.01/60*C332</f>
        <v>0.01</v>
      </c>
      <c r="I332" s="222">
        <f>0.01/60*C332</f>
        <v>0.01</v>
      </c>
      <c r="J332" s="222">
        <f>72.9/60*C332</f>
        <v>72.900000000000006</v>
      </c>
      <c r="K332" s="222">
        <v>0</v>
      </c>
      <c r="L332" s="222">
        <f>2.26/60*C332</f>
        <v>2.2599999999999998</v>
      </c>
      <c r="M332" s="222">
        <f>128/60*C332</f>
        <v>128</v>
      </c>
      <c r="N332" s="222">
        <f>12/60*C332</f>
        <v>12</v>
      </c>
      <c r="O332" s="222">
        <f>9.7/60*C332</f>
        <v>9.6999999999999993</v>
      </c>
      <c r="P332" s="222">
        <f>21/60*C332</f>
        <v>21</v>
      </c>
      <c r="Q332" s="222">
        <f>0.4/60*C332</f>
        <v>0.4</v>
      </c>
      <c r="R332" s="222">
        <f>7.9/60*C332</f>
        <v>7.9000000000000012</v>
      </c>
      <c r="S332" s="225">
        <f>0.14/60*C332</f>
        <v>0.14000000000000001</v>
      </c>
      <c r="T332" s="25">
        <f>12/60*C332</f>
        <v>12</v>
      </c>
    </row>
    <row r="333" spans="1:20" ht="15" customHeight="1" x14ac:dyDescent="0.25">
      <c r="A333" s="19" t="s">
        <v>131</v>
      </c>
      <c r="B333" s="32" t="s">
        <v>27</v>
      </c>
      <c r="C333" s="20">
        <v>150</v>
      </c>
      <c r="D333" s="21">
        <f>4.8/200*C333</f>
        <v>3.6</v>
      </c>
      <c r="E333" s="21">
        <f>5.8/200*C333</f>
        <v>4.3499999999999996</v>
      </c>
      <c r="F333" s="21">
        <f>13.6/200*C333</f>
        <v>10.200000000000001</v>
      </c>
      <c r="G333" s="89">
        <f>125.5/200*C333</f>
        <v>94.124999999999986</v>
      </c>
      <c r="H333" s="61">
        <f>0.03/200*C333</f>
        <v>2.2499999999999999E-2</v>
      </c>
      <c r="I333" s="61">
        <f>0.02/200*C333</f>
        <v>1.5000000000000001E-2</v>
      </c>
      <c r="J333" s="61">
        <f>132.4/200*C333</f>
        <v>99.300000000000011</v>
      </c>
      <c r="K333" s="61">
        <v>0</v>
      </c>
      <c r="L333" s="61">
        <f>3.26/200*C333</f>
        <v>2.4449999999999998</v>
      </c>
      <c r="M333" s="61">
        <f>147/200*C333</f>
        <v>110.25</v>
      </c>
      <c r="N333" s="61">
        <f>11.8/200*C333</f>
        <v>8.8500000000000014</v>
      </c>
      <c r="O333" s="61">
        <f>13.8/200*C333</f>
        <v>10.350000000000001</v>
      </c>
      <c r="P333" s="61">
        <f>32.6/200*C333</f>
        <v>24.45</v>
      </c>
      <c r="Q333" s="61">
        <f>0.4/200*C333</f>
        <v>0.3</v>
      </c>
      <c r="R333" s="61">
        <f>14.2/200*C333</f>
        <v>10.649999999999999</v>
      </c>
      <c r="S333" s="133">
        <f>1.16/200*C333</f>
        <v>0.86999999999999988</v>
      </c>
      <c r="T333" s="61">
        <f>21.8/200*C333</f>
        <v>16.350000000000001</v>
      </c>
    </row>
    <row r="334" spans="1:20" ht="15" customHeight="1" x14ac:dyDescent="0.25">
      <c r="A334" s="146" t="s">
        <v>139</v>
      </c>
      <c r="B334" s="153" t="s">
        <v>64</v>
      </c>
      <c r="C334" s="53">
        <v>180</v>
      </c>
      <c r="D334" s="56">
        <v>14.57</v>
      </c>
      <c r="E334" s="56">
        <v>9.2899999999999991</v>
      </c>
      <c r="F334" s="56">
        <v>45.9</v>
      </c>
      <c r="G334" s="56">
        <v>305.60000000000002</v>
      </c>
      <c r="H334" s="116">
        <f>0.08/200*C334</f>
        <v>7.2000000000000008E-2</v>
      </c>
      <c r="I334" s="116">
        <f>0.08/200*C334</f>
        <v>7.2000000000000008E-2</v>
      </c>
      <c r="J334" s="116">
        <f>147/200*C334</f>
        <v>132.30000000000001</v>
      </c>
      <c r="K334" s="116">
        <v>0</v>
      </c>
      <c r="L334" s="116">
        <f>2.36/200*C334</f>
        <v>2.1240000000000001</v>
      </c>
      <c r="M334" s="116">
        <f>383/200*C334</f>
        <v>344.7</v>
      </c>
      <c r="N334" s="117">
        <f>20/200*C334</f>
        <v>18</v>
      </c>
      <c r="O334" s="117">
        <f>108/200*C334</f>
        <v>97.2</v>
      </c>
      <c r="P334" s="117">
        <f>234/200*C334</f>
        <v>210.6</v>
      </c>
      <c r="Q334" s="117">
        <f>2.02/200*C334</f>
        <v>1.8179999999999998</v>
      </c>
      <c r="R334" s="117">
        <f>40/200*C334</f>
        <v>36</v>
      </c>
      <c r="S334" s="164">
        <f>27.5/200*C334</f>
        <v>24.750000000000004</v>
      </c>
      <c r="T334" s="7">
        <f>169/200*C334</f>
        <v>152.1</v>
      </c>
    </row>
    <row r="335" spans="1:20" ht="15" customHeight="1" x14ac:dyDescent="0.25">
      <c r="A335" s="146" t="s">
        <v>131</v>
      </c>
      <c r="B335" s="5" t="s">
        <v>41</v>
      </c>
      <c r="C335" s="41">
        <v>30</v>
      </c>
      <c r="D335" s="42">
        <f>0.54/30*C335</f>
        <v>0.54</v>
      </c>
      <c r="E335" s="42">
        <f>3.67/30*C335</f>
        <v>3.67</v>
      </c>
      <c r="F335" s="42">
        <f>5.24/30*C335</f>
        <v>5.24</v>
      </c>
      <c r="G335" s="42">
        <f>56.16/30*C335</f>
        <v>56.16</v>
      </c>
      <c r="H335" s="42">
        <f>0.01/30*C335</f>
        <v>0.01</v>
      </c>
      <c r="I335" s="42">
        <v>0</v>
      </c>
      <c r="J335" s="42">
        <v>0</v>
      </c>
      <c r="K335" s="42">
        <f>0.23/30*C335</f>
        <v>0.23</v>
      </c>
      <c r="L335" s="42">
        <f>1.68/30*C335</f>
        <v>1.68</v>
      </c>
      <c r="M335" s="42">
        <f>2/30*C335</f>
        <v>2</v>
      </c>
      <c r="N335" s="42">
        <f>5/30*C335</f>
        <v>5</v>
      </c>
      <c r="O335" s="42">
        <v>0</v>
      </c>
      <c r="P335" s="42">
        <f>23.6/30*C335</f>
        <v>23.6</v>
      </c>
      <c r="Q335" s="42">
        <v>0</v>
      </c>
      <c r="R335" s="42">
        <f>0.01/30*C335</f>
        <v>0.01</v>
      </c>
      <c r="S335" s="165">
        <v>0</v>
      </c>
      <c r="T335" s="25">
        <f>0.04/30*C335</f>
        <v>0.04</v>
      </c>
    </row>
    <row r="336" spans="1:20" ht="15" customHeight="1" x14ac:dyDescent="0.25">
      <c r="A336" s="8" t="s">
        <v>182</v>
      </c>
      <c r="B336" s="32" t="s">
        <v>71</v>
      </c>
      <c r="C336" s="90">
        <v>200</v>
      </c>
      <c r="D336" s="61">
        <f>0.15/200*C336</f>
        <v>0.15</v>
      </c>
      <c r="E336" s="61">
        <f>0.14/200*C336</f>
        <v>0.14000000000000001</v>
      </c>
      <c r="F336" s="61">
        <f>9.93/200*C336</f>
        <v>9.93</v>
      </c>
      <c r="G336" s="61">
        <f>41.5/200*C336</f>
        <v>41.5</v>
      </c>
      <c r="H336" s="61">
        <f>0.01/200*C336</f>
        <v>0.01</v>
      </c>
      <c r="I336" s="61">
        <f>0.01/200*C336</f>
        <v>0.01</v>
      </c>
      <c r="J336" s="61">
        <f>1.2/200*C336</f>
        <v>1.2</v>
      </c>
      <c r="K336" s="61">
        <v>0</v>
      </c>
      <c r="L336" s="61">
        <f>1.6/200*C336</f>
        <v>1.6</v>
      </c>
      <c r="M336" s="61">
        <f>92.5/200</f>
        <v>0.46250000000000002</v>
      </c>
      <c r="N336" s="61">
        <f>58.2/200</f>
        <v>0.29100000000000004</v>
      </c>
      <c r="O336" s="61">
        <f>3.1/200*C336</f>
        <v>3.1</v>
      </c>
      <c r="P336" s="61">
        <f>3.8/200*C336</f>
        <v>3.8</v>
      </c>
      <c r="Q336" s="61">
        <f>0.79/200*C336</f>
        <v>0.79</v>
      </c>
      <c r="R336" s="61">
        <f>0.8/200*C336</f>
        <v>0.8</v>
      </c>
      <c r="S336" s="133">
        <f>0.1/200*C336</f>
        <v>0.1</v>
      </c>
      <c r="T336" s="61">
        <f>3.2/200*C336</f>
        <v>3.2</v>
      </c>
    </row>
    <row r="337" spans="1:20" ht="15" customHeight="1" x14ac:dyDescent="0.25">
      <c r="A337" s="154" t="s">
        <v>124</v>
      </c>
      <c r="B337" s="35" t="s">
        <v>23</v>
      </c>
      <c r="C337" s="6">
        <v>60</v>
      </c>
      <c r="D337" s="10">
        <f>1.5/25*C337</f>
        <v>3.5999999999999996</v>
      </c>
      <c r="E337" s="10">
        <f>0.5/25*C337</f>
        <v>1.2</v>
      </c>
      <c r="F337" s="10">
        <f>10.2/25*C337</f>
        <v>24.479999999999997</v>
      </c>
      <c r="G337" s="10">
        <f>52/25*C337</f>
        <v>124.80000000000001</v>
      </c>
      <c r="H337" s="10">
        <f>0.1/25*C337</f>
        <v>0.24</v>
      </c>
      <c r="I337" s="10">
        <f>0.08/25*C337</f>
        <v>0.192</v>
      </c>
      <c r="J337" s="10">
        <v>0</v>
      </c>
      <c r="K337" s="10">
        <v>0</v>
      </c>
      <c r="L337" s="10">
        <f>0.1/25*C337</f>
        <v>0.24</v>
      </c>
      <c r="M337" s="10">
        <f>41.5/25*C337</f>
        <v>99.6</v>
      </c>
      <c r="N337" s="10">
        <f>19.75/25*C337</f>
        <v>47.400000000000006</v>
      </c>
      <c r="O337" s="10">
        <f>10/25*C337</f>
        <v>24</v>
      </c>
      <c r="P337" s="10">
        <f>31.25/25*C337</f>
        <v>75</v>
      </c>
      <c r="Q337" s="10">
        <f>10/25*C337</f>
        <v>24</v>
      </c>
      <c r="R337" s="10">
        <f>0.7/25*C337</f>
        <v>1.6799999999999997</v>
      </c>
      <c r="S337" s="172">
        <f>7.73/25*C337</f>
        <v>18.552000000000003</v>
      </c>
      <c r="T337" s="10">
        <f>12.75/25*C337</f>
        <v>30.6</v>
      </c>
    </row>
    <row r="338" spans="1:20" ht="15" customHeight="1" x14ac:dyDescent="0.25">
      <c r="A338" s="95" t="s">
        <v>124</v>
      </c>
      <c r="B338" s="32" t="s">
        <v>24</v>
      </c>
      <c r="C338" s="16">
        <v>30</v>
      </c>
      <c r="D338" s="25">
        <f>3.4/45*C338</f>
        <v>2.2666666666666666</v>
      </c>
      <c r="E338" s="25">
        <f>0.4/45*C338</f>
        <v>0.26666666666666666</v>
      </c>
      <c r="F338" s="25">
        <f>22.1/45*C338</f>
        <v>14.733333333333334</v>
      </c>
      <c r="G338" s="25">
        <f>105.8/45*C338</f>
        <v>70.533333333333331</v>
      </c>
      <c r="H338" s="25">
        <f>0.05/45*C338</f>
        <v>3.3333333333333333E-2</v>
      </c>
      <c r="I338" s="25">
        <f>0.01/45*C338</f>
        <v>6.6666666666666671E-3</v>
      </c>
      <c r="J338" s="25">
        <v>0</v>
      </c>
      <c r="K338" s="25">
        <v>0</v>
      </c>
      <c r="L338" s="25">
        <v>0</v>
      </c>
      <c r="M338" s="25">
        <f>46.5/45*C338</f>
        <v>31.000000000000004</v>
      </c>
      <c r="N338" s="27">
        <f>10/45*C338</f>
        <v>6.6666666666666661</v>
      </c>
      <c r="O338" s="27">
        <f>7/45*C338</f>
        <v>4.666666666666667</v>
      </c>
      <c r="P338" s="27">
        <f>32.5/45*C338</f>
        <v>21.666666666666668</v>
      </c>
      <c r="Q338" s="27">
        <f>1.6/45*C338</f>
        <v>1.0666666666666667</v>
      </c>
      <c r="R338" s="27">
        <f>0.55/45*C338</f>
        <v>0.3666666666666667</v>
      </c>
      <c r="S338" s="166">
        <f>3/45*C338</f>
        <v>2</v>
      </c>
      <c r="T338" s="27">
        <f>7.5/45*C338</f>
        <v>5</v>
      </c>
    </row>
    <row r="339" spans="1:20" ht="15" customHeight="1" x14ac:dyDescent="0.25">
      <c r="A339" s="95"/>
      <c r="B339" s="101"/>
      <c r="C339" s="102"/>
      <c r="D339" s="103"/>
      <c r="E339" s="103"/>
      <c r="F339" s="103"/>
      <c r="G339" s="103"/>
      <c r="H339" s="96"/>
      <c r="I339" s="11"/>
      <c r="J339" s="11"/>
      <c r="K339" s="11"/>
      <c r="L339" s="11"/>
      <c r="M339" s="11"/>
      <c r="N339" s="12"/>
      <c r="O339" s="12"/>
      <c r="P339" s="12"/>
      <c r="Q339" s="12"/>
      <c r="R339" s="12"/>
      <c r="S339" s="157"/>
      <c r="T339" s="12"/>
    </row>
    <row r="340" spans="1:20" ht="15" customHeight="1" x14ac:dyDescent="0.25">
      <c r="A340" s="4"/>
      <c r="B340" s="71" t="s">
        <v>29</v>
      </c>
      <c r="C340" s="98">
        <f t="shared" ref="C340:T340" si="45">SUM(C332:C339)</f>
        <v>710</v>
      </c>
      <c r="D340" s="75">
        <f t="shared" si="45"/>
        <v>25.326666666666661</v>
      </c>
      <c r="E340" s="71">
        <f t="shared" si="45"/>
        <v>24.216666666666665</v>
      </c>
      <c r="F340" s="71">
        <f t="shared" si="45"/>
        <v>114.58333333333333</v>
      </c>
      <c r="G340" s="75">
        <f t="shared" si="45"/>
        <v>759.81833333333338</v>
      </c>
      <c r="H340" s="75">
        <f t="shared" si="45"/>
        <v>0.39783333333333332</v>
      </c>
      <c r="I340" s="75">
        <f t="shared" si="45"/>
        <v>0.30566666666666664</v>
      </c>
      <c r="J340" s="71">
        <f t="shared" si="45"/>
        <v>305.7</v>
      </c>
      <c r="K340" s="75">
        <f t="shared" si="45"/>
        <v>0.23</v>
      </c>
      <c r="L340" s="71">
        <f t="shared" si="45"/>
        <v>10.349</v>
      </c>
      <c r="M340" s="71">
        <f t="shared" si="45"/>
        <v>716.01250000000005</v>
      </c>
      <c r="N340" s="71">
        <f t="shared" si="45"/>
        <v>98.207666666666668</v>
      </c>
      <c r="O340" s="71">
        <f t="shared" si="45"/>
        <v>149.01666666666665</v>
      </c>
      <c r="P340" s="71">
        <f t="shared" si="45"/>
        <v>380.11666666666673</v>
      </c>
      <c r="Q340" s="71">
        <f t="shared" si="45"/>
        <v>28.374666666666666</v>
      </c>
      <c r="R340" s="71">
        <f t="shared" si="45"/>
        <v>57.406666666666659</v>
      </c>
      <c r="S340" s="71">
        <f t="shared" si="45"/>
        <v>46.412000000000006</v>
      </c>
      <c r="T340" s="71">
        <f t="shared" si="45"/>
        <v>219.28999999999996</v>
      </c>
    </row>
    <row r="341" spans="1:20" ht="15" customHeight="1" x14ac:dyDescent="0.25">
      <c r="A341" s="298" t="s">
        <v>30</v>
      </c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315"/>
    </row>
    <row r="342" spans="1:20" ht="15" customHeight="1" x14ac:dyDescent="0.25">
      <c r="A342" s="8" t="s">
        <v>183</v>
      </c>
      <c r="B342" s="32" t="s">
        <v>50</v>
      </c>
      <c r="C342" s="28">
        <v>150</v>
      </c>
      <c r="D342" s="56">
        <f>12.7/150*C342</f>
        <v>12.7</v>
      </c>
      <c r="E342" s="56">
        <f>18/150*C342</f>
        <v>18</v>
      </c>
      <c r="F342" s="56">
        <f>3.2/150*C342</f>
        <v>3.2000000000000006</v>
      </c>
      <c r="G342" s="139">
        <f>225.5/150*C342</f>
        <v>225.5</v>
      </c>
      <c r="H342" s="61">
        <f>0.06/150*C342</f>
        <v>0.06</v>
      </c>
      <c r="I342" s="226">
        <f>0.4/150*C342</f>
        <v>0.40000000000000008</v>
      </c>
      <c r="J342" s="25">
        <f>183/150*C342</f>
        <v>183</v>
      </c>
      <c r="K342" s="25">
        <f>2.18/150*C342</f>
        <v>2.1800000000000002</v>
      </c>
      <c r="L342" s="25">
        <f>0.3/150*C342</f>
        <v>0.3</v>
      </c>
      <c r="M342" s="25">
        <f>180/150*C342</f>
        <v>180</v>
      </c>
      <c r="N342" s="227">
        <f>110/150*C342</f>
        <v>109.99999999999999</v>
      </c>
      <c r="O342" s="25">
        <f>17/150*C342</f>
        <v>17</v>
      </c>
      <c r="P342" s="25">
        <f>203/150*C342</f>
        <v>203</v>
      </c>
      <c r="Q342" s="227">
        <f>2.1/150*C342</f>
        <v>2.1</v>
      </c>
      <c r="R342" s="226">
        <f>42/150*C342</f>
        <v>42.000000000000007</v>
      </c>
      <c r="S342" s="86">
        <f>26.1/150*C342</f>
        <v>26.1</v>
      </c>
      <c r="T342" s="25">
        <f>63/150*C342</f>
        <v>63</v>
      </c>
    </row>
    <row r="343" spans="1:20" ht="15" customHeight="1" x14ac:dyDescent="0.25">
      <c r="A343" s="8" t="s">
        <v>140</v>
      </c>
      <c r="B343" s="32" t="s">
        <v>20</v>
      </c>
      <c r="C343" s="9">
        <v>200</v>
      </c>
      <c r="D343" s="10">
        <f>0.2/200*C343</f>
        <v>0.2</v>
      </c>
      <c r="E343" s="10">
        <v>0</v>
      </c>
      <c r="F343" s="10">
        <f>6.5/200*C343</f>
        <v>6.5</v>
      </c>
      <c r="G343" s="10">
        <f>26.8/200*C343</f>
        <v>26.8</v>
      </c>
      <c r="H343" s="10">
        <v>0</v>
      </c>
      <c r="I343" s="10">
        <f>0.01/200*C343</f>
        <v>0.01</v>
      </c>
      <c r="J343" s="10">
        <f>0.3/200*C343</f>
        <v>0.3</v>
      </c>
      <c r="K343" s="10">
        <v>0</v>
      </c>
      <c r="L343" s="10">
        <f>0.04/200*C343</f>
        <v>0.04</v>
      </c>
      <c r="M343" s="11">
        <f>20.8/200*C343</f>
        <v>20.8</v>
      </c>
      <c r="N343" s="12">
        <f>4.5/200*C343</f>
        <v>4.5</v>
      </c>
      <c r="O343" s="12">
        <f>3.8/200*C343</f>
        <v>3.8</v>
      </c>
      <c r="P343" s="12">
        <f>7.2/200*C343</f>
        <v>7.2000000000000011</v>
      </c>
      <c r="Q343" s="12">
        <f>0.73/200*C343</f>
        <v>0.73</v>
      </c>
      <c r="R343" s="12">
        <v>0</v>
      </c>
      <c r="S343" s="157">
        <v>0</v>
      </c>
      <c r="T343" s="12">
        <v>0</v>
      </c>
    </row>
    <row r="344" spans="1:20" ht="15" customHeight="1" x14ac:dyDescent="0.25">
      <c r="A344" s="4"/>
      <c r="B344" s="4"/>
      <c r="C344" s="29"/>
      <c r="D344" s="30"/>
      <c r="E344" s="30"/>
      <c r="F344" s="30"/>
      <c r="G344" s="30"/>
      <c r="H344" s="30"/>
      <c r="I344" s="30"/>
      <c r="J344" s="31"/>
      <c r="K344" s="30"/>
      <c r="L344" s="30"/>
      <c r="M344" s="30"/>
      <c r="N344" s="30"/>
      <c r="O344" s="30"/>
      <c r="P344" s="30"/>
      <c r="Q344" s="30"/>
      <c r="R344" s="30"/>
      <c r="S344" s="161"/>
      <c r="T344" s="30"/>
    </row>
    <row r="345" spans="1:20" ht="15" customHeight="1" x14ac:dyDescent="0.25">
      <c r="A345" s="4"/>
      <c r="B345" s="28" t="s">
        <v>32</v>
      </c>
      <c r="C345" s="29">
        <f>SUM(C342:C343)</f>
        <v>350</v>
      </c>
      <c r="D345" s="30">
        <f>SUM(D342:D343)</f>
        <v>12.899999999999999</v>
      </c>
      <c r="E345" s="30">
        <f t="shared" ref="E345:Q345" si="46">SUM(E342:E343)</f>
        <v>18</v>
      </c>
      <c r="F345" s="30">
        <f t="shared" si="46"/>
        <v>9.7000000000000011</v>
      </c>
      <c r="G345" s="30">
        <f t="shared" si="46"/>
        <v>252.3</v>
      </c>
      <c r="H345" s="30">
        <f t="shared" si="46"/>
        <v>0.06</v>
      </c>
      <c r="I345" s="30">
        <f t="shared" si="46"/>
        <v>0.41000000000000009</v>
      </c>
      <c r="J345" s="30">
        <f t="shared" si="46"/>
        <v>183.3</v>
      </c>
      <c r="K345" s="30">
        <f t="shared" si="46"/>
        <v>2.1800000000000002</v>
      </c>
      <c r="L345" s="30">
        <f t="shared" si="46"/>
        <v>0.33999999999999997</v>
      </c>
      <c r="M345" s="30">
        <f t="shared" si="46"/>
        <v>200.8</v>
      </c>
      <c r="N345" s="30">
        <f t="shared" si="46"/>
        <v>114.49999999999999</v>
      </c>
      <c r="O345" s="30">
        <f t="shared" si="46"/>
        <v>20.8</v>
      </c>
      <c r="P345" s="30">
        <f t="shared" si="46"/>
        <v>210.2</v>
      </c>
      <c r="Q345" s="30">
        <f t="shared" si="46"/>
        <v>2.83</v>
      </c>
      <c r="R345" s="30">
        <f>SUM(R342:R343)</f>
        <v>42.000000000000007</v>
      </c>
      <c r="S345" s="161">
        <f>SUM(S342:S343)</f>
        <v>26.1</v>
      </c>
      <c r="T345" s="30">
        <f>SUM(T342:T343)</f>
        <v>63</v>
      </c>
    </row>
    <row r="346" spans="1:20" ht="15" customHeight="1" x14ac:dyDescent="0.25">
      <c r="A346" s="4"/>
      <c r="B346" s="28" t="s">
        <v>33</v>
      </c>
      <c r="C346" s="29">
        <f t="shared" ref="C346:Q346" si="47">C345+C340+C330</f>
        <v>1565</v>
      </c>
      <c r="D346" s="30">
        <f t="shared" si="47"/>
        <v>55.812266666666659</v>
      </c>
      <c r="E346" s="29">
        <f t="shared" si="47"/>
        <v>58.416666666666671</v>
      </c>
      <c r="F346" s="29">
        <f t="shared" si="47"/>
        <v>195.10573333333335</v>
      </c>
      <c r="G346" s="30">
        <f t="shared" si="47"/>
        <v>1556.4463333333333</v>
      </c>
      <c r="H346" s="30">
        <f t="shared" si="47"/>
        <v>1.2286333333333332</v>
      </c>
      <c r="I346" s="30">
        <f t="shared" si="47"/>
        <v>1.1792666666666667</v>
      </c>
      <c r="J346" s="29">
        <f t="shared" si="47"/>
        <v>567.48</v>
      </c>
      <c r="K346" s="30">
        <f t="shared" si="47"/>
        <v>2.5864000000000003</v>
      </c>
      <c r="L346" s="29">
        <f t="shared" si="47"/>
        <v>12.219799999999999</v>
      </c>
      <c r="M346" s="29">
        <f t="shared" si="47"/>
        <v>1403.5525</v>
      </c>
      <c r="N346" s="29">
        <f t="shared" si="47"/>
        <v>650.45766666666668</v>
      </c>
      <c r="O346" s="29">
        <f t="shared" si="47"/>
        <v>249.51666666666665</v>
      </c>
      <c r="P346" s="29">
        <f t="shared" si="47"/>
        <v>980.38666666666677</v>
      </c>
      <c r="Q346" s="29">
        <f t="shared" si="47"/>
        <v>44.332666666666668</v>
      </c>
      <c r="R346" s="29">
        <f>R345+R340+R330</f>
        <v>132.53666666666666</v>
      </c>
      <c r="S346" s="162">
        <f>S345+S340+S330</f>
        <v>92.242000000000004</v>
      </c>
      <c r="T346" s="29">
        <f>T345+T340+T330</f>
        <v>362.14</v>
      </c>
    </row>
    <row r="347" spans="1:20" ht="15" customHeight="1" x14ac:dyDescent="0.25">
      <c r="A347" s="293" t="s">
        <v>16</v>
      </c>
      <c r="B347" s="294"/>
      <c r="C347" s="294"/>
      <c r="D347" s="294"/>
      <c r="E347" s="294"/>
      <c r="F347" s="294"/>
      <c r="G347" s="294"/>
      <c r="H347" s="294"/>
      <c r="I347" s="294"/>
      <c r="J347" s="294"/>
      <c r="K347" s="294"/>
      <c r="L347" s="294"/>
      <c r="M347" s="294"/>
      <c r="N347" s="294"/>
      <c r="O347" s="294"/>
      <c r="P347" s="294"/>
      <c r="Q347" s="294"/>
      <c r="R347" s="294"/>
      <c r="S347" s="294"/>
      <c r="T347" s="307"/>
    </row>
    <row r="348" spans="1:20" ht="15" customHeight="1" x14ac:dyDescent="0.25">
      <c r="A348" s="293" t="s">
        <v>200</v>
      </c>
      <c r="B348" s="294"/>
      <c r="C348" s="294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307"/>
    </row>
    <row r="349" spans="1:20" ht="15" customHeight="1" x14ac:dyDescent="0.25">
      <c r="A349" s="285" t="s">
        <v>18</v>
      </c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308"/>
    </row>
    <row r="350" spans="1:20" ht="15" customHeight="1" x14ac:dyDescent="0.25">
      <c r="A350" s="287" t="s">
        <v>19</v>
      </c>
      <c r="B350" s="296"/>
      <c r="C350" s="296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309"/>
    </row>
    <row r="351" spans="1:20" ht="15" customHeight="1" x14ac:dyDescent="0.25">
      <c r="A351" s="8" t="s">
        <v>141</v>
      </c>
      <c r="B351" s="270" t="s">
        <v>184</v>
      </c>
      <c r="C351" s="16">
        <v>250</v>
      </c>
      <c r="D351" s="11">
        <f>6.8/200*C351</f>
        <v>8.5</v>
      </c>
      <c r="E351" s="11">
        <f>5.8/200*C351</f>
        <v>7.2499999999999991</v>
      </c>
      <c r="F351" s="11">
        <v>35.119999999999997</v>
      </c>
      <c r="G351" s="11">
        <f>208.3/200*C351</f>
        <v>260.375</v>
      </c>
      <c r="H351" s="118">
        <f>0.12/200*C351</f>
        <v>0.15</v>
      </c>
      <c r="I351" s="118">
        <f>0.15/200*C351</f>
        <v>0.1875</v>
      </c>
      <c r="J351" s="118">
        <f>26.7/200*C351</f>
        <v>33.375</v>
      </c>
      <c r="K351" s="118">
        <f>0.07/200*C351</f>
        <v>8.7500000000000008E-2</v>
      </c>
      <c r="L351" s="118">
        <f>0.52/200*C351</f>
        <v>0.65</v>
      </c>
      <c r="M351" s="118">
        <f>199/200*C351</f>
        <v>248.75</v>
      </c>
      <c r="N351" s="118">
        <f>124/200*C351</f>
        <v>155</v>
      </c>
      <c r="O351" s="118">
        <f>33/200*C351</f>
        <v>41.25</v>
      </c>
      <c r="P351" s="118">
        <f>176/200*C351</f>
        <v>220</v>
      </c>
      <c r="Q351" s="118">
        <f>1.78/200*C351</f>
        <v>2.2250000000000001</v>
      </c>
      <c r="R351" s="118">
        <f>49/200*C351</f>
        <v>61.25</v>
      </c>
      <c r="S351" s="192">
        <f>26.7/200*C351</f>
        <v>33.375</v>
      </c>
      <c r="T351" s="118">
        <f>20/200*C351</f>
        <v>25</v>
      </c>
    </row>
    <row r="352" spans="1:20" ht="15" customHeight="1" x14ac:dyDescent="0.25">
      <c r="A352" s="8" t="s">
        <v>123</v>
      </c>
      <c r="B352" s="32" t="s">
        <v>122</v>
      </c>
      <c r="C352" s="9">
        <v>200</v>
      </c>
      <c r="D352" s="10">
        <f>1.6/200*C352</f>
        <v>1.6</v>
      </c>
      <c r="E352" s="10">
        <f>1.1/200*C352</f>
        <v>1.1000000000000001</v>
      </c>
      <c r="F352" s="10">
        <f>8.7/200*C352</f>
        <v>8.6999999999999993</v>
      </c>
      <c r="G352" s="10">
        <f>50.9/200*C352</f>
        <v>50.9</v>
      </c>
      <c r="H352" s="10">
        <f>0.01/200*C352</f>
        <v>0.01</v>
      </c>
      <c r="I352" s="10">
        <f>0.07/200*C352</f>
        <v>7.0000000000000007E-2</v>
      </c>
      <c r="J352" s="10">
        <f>6.9/200*C352</f>
        <v>6.9</v>
      </c>
      <c r="K352" s="10">
        <v>0</v>
      </c>
      <c r="L352" s="10">
        <f>0.3/200*C352</f>
        <v>0.3</v>
      </c>
      <c r="M352" s="21">
        <f>81.3/200*C352</f>
        <v>81.3</v>
      </c>
      <c r="N352" s="10">
        <f>57/200*C352</f>
        <v>56.999999999999993</v>
      </c>
      <c r="O352" s="10">
        <f>9.9/200*C352</f>
        <v>9.9</v>
      </c>
      <c r="P352" s="10">
        <f>46/200*C352</f>
        <v>46</v>
      </c>
      <c r="Q352" s="10">
        <f>0.77/200*C352</f>
        <v>0.77</v>
      </c>
      <c r="R352" s="10">
        <f>4.5/200*C352</f>
        <v>4.5</v>
      </c>
      <c r="S352" s="172">
        <f>0.88/200*C352</f>
        <v>0.88</v>
      </c>
      <c r="T352" s="10">
        <f>10/200*C352</f>
        <v>10</v>
      </c>
    </row>
    <row r="353" spans="1:20" ht="15" customHeight="1" x14ac:dyDescent="0.25">
      <c r="A353" s="4" t="s">
        <v>191</v>
      </c>
      <c r="B353" s="35" t="s">
        <v>21</v>
      </c>
      <c r="C353" s="6">
        <v>10</v>
      </c>
      <c r="D353" s="61">
        <v>1</v>
      </c>
      <c r="E353" s="61">
        <v>9</v>
      </c>
      <c r="F353" s="61">
        <v>5.2</v>
      </c>
      <c r="G353" s="61">
        <f>1/10*C353</f>
        <v>1</v>
      </c>
      <c r="H353" s="61">
        <f>66.1/10*C353</f>
        <v>66.099999999999994</v>
      </c>
      <c r="I353" s="140">
        <f>0.01/10*C353</f>
        <v>0.01</v>
      </c>
      <c r="J353" s="61">
        <f>45/10*C353</f>
        <v>45</v>
      </c>
      <c r="K353" s="61">
        <f>0.13/10*C353</f>
        <v>0.13</v>
      </c>
      <c r="L353" s="61">
        <v>0</v>
      </c>
      <c r="M353" s="61">
        <f>3/10*C353</f>
        <v>3</v>
      </c>
      <c r="N353" s="61">
        <f>2.4/10*C353</f>
        <v>2.4</v>
      </c>
      <c r="O353" s="61">
        <v>0</v>
      </c>
      <c r="P353" s="61">
        <f>3/10*C353</f>
        <v>3</v>
      </c>
      <c r="Q353" s="61">
        <f>0.02/10*C353</f>
        <v>0.02</v>
      </c>
      <c r="R353" s="61">
        <v>0</v>
      </c>
      <c r="S353" s="133">
        <f>0.1/10*C353</f>
        <v>0.1</v>
      </c>
      <c r="T353" s="61">
        <f>0.3/10*C353</f>
        <v>0.3</v>
      </c>
    </row>
    <row r="354" spans="1:20" ht="15" customHeight="1" x14ac:dyDescent="0.25">
      <c r="A354" s="14" t="s">
        <v>124</v>
      </c>
      <c r="B354" s="35" t="s">
        <v>23</v>
      </c>
      <c r="C354" s="6">
        <v>25</v>
      </c>
      <c r="D354" s="10">
        <f>1.5/25*C354</f>
        <v>1.5</v>
      </c>
      <c r="E354" s="10">
        <f>0.5/25*C354</f>
        <v>0.5</v>
      </c>
      <c r="F354" s="10">
        <f>10.2/25*C354</f>
        <v>10.199999999999999</v>
      </c>
      <c r="G354" s="10">
        <f>52/25*C354</f>
        <v>52</v>
      </c>
      <c r="H354" s="10">
        <f>0.1/25*C354</f>
        <v>0.1</v>
      </c>
      <c r="I354" s="10">
        <f>0.08/25*C354</f>
        <v>0.08</v>
      </c>
      <c r="J354" s="10">
        <v>0</v>
      </c>
      <c r="K354" s="10">
        <v>0</v>
      </c>
      <c r="L354" s="10">
        <f>0.1/25*C354</f>
        <v>0.1</v>
      </c>
      <c r="M354" s="10">
        <f>41.5/25*C354</f>
        <v>41.5</v>
      </c>
      <c r="N354" s="10">
        <f>19.75/25*C354</f>
        <v>19.75</v>
      </c>
      <c r="O354" s="10">
        <f>10/25*C354</f>
        <v>10</v>
      </c>
      <c r="P354" s="10">
        <f>31.25/25*C354</f>
        <v>31.25</v>
      </c>
      <c r="Q354" s="10">
        <f>10/25*C354</f>
        <v>10</v>
      </c>
      <c r="R354" s="10">
        <f>0.7/25*C354</f>
        <v>0.7</v>
      </c>
      <c r="S354" s="172">
        <f>7.73/25*C354</f>
        <v>7.73</v>
      </c>
      <c r="T354" s="10">
        <f>12.75/25*C354</f>
        <v>12.75</v>
      </c>
    </row>
    <row r="355" spans="1:20" ht="15" customHeight="1" x14ac:dyDescent="0.25">
      <c r="A355" s="15" t="s">
        <v>124</v>
      </c>
      <c r="B355" s="32" t="s">
        <v>24</v>
      </c>
      <c r="C355" s="16">
        <v>45</v>
      </c>
      <c r="D355" s="25">
        <f>3.4/45*C355</f>
        <v>3.4</v>
      </c>
      <c r="E355" s="25">
        <f>0.4/45*C355</f>
        <v>0.4</v>
      </c>
      <c r="F355" s="25">
        <f>22.1/45*C355</f>
        <v>22.1</v>
      </c>
      <c r="G355" s="25">
        <f>105.8/45*C355</f>
        <v>105.8</v>
      </c>
      <c r="H355" s="25">
        <f>0.05/45*C355</f>
        <v>0.05</v>
      </c>
      <c r="I355" s="25">
        <f>0.01/45*C355</f>
        <v>0.01</v>
      </c>
      <c r="J355" s="25">
        <v>0</v>
      </c>
      <c r="K355" s="25">
        <v>0</v>
      </c>
      <c r="L355" s="25">
        <v>0</v>
      </c>
      <c r="M355" s="25">
        <f>46.5/45*C355</f>
        <v>46.500000000000007</v>
      </c>
      <c r="N355" s="27">
        <f>10/45*C355</f>
        <v>10</v>
      </c>
      <c r="O355" s="27">
        <f>7/45*C355</f>
        <v>7</v>
      </c>
      <c r="P355" s="27">
        <f>32.5/45*C355</f>
        <v>32.5</v>
      </c>
      <c r="Q355" s="27">
        <f>1.6/45*C355</f>
        <v>1.6</v>
      </c>
      <c r="R355" s="27">
        <f>0.55/45*C355</f>
        <v>0.55000000000000004</v>
      </c>
      <c r="S355" s="166">
        <f>3/45*C355</f>
        <v>3</v>
      </c>
      <c r="T355" s="27">
        <f>7.5/45*C355</f>
        <v>7.5</v>
      </c>
    </row>
    <row r="356" spans="1:20" ht="15" customHeight="1" x14ac:dyDescent="0.25">
      <c r="A356" s="15"/>
      <c r="B356" s="4"/>
      <c r="C356" s="16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2"/>
      <c r="O356" s="12"/>
      <c r="P356" s="12"/>
      <c r="Q356" s="12"/>
      <c r="R356" s="12"/>
      <c r="S356" s="157"/>
      <c r="T356" s="12"/>
    </row>
    <row r="357" spans="1:20" ht="15" customHeight="1" x14ac:dyDescent="0.25">
      <c r="A357" s="17"/>
      <c r="B357" s="6" t="s">
        <v>25</v>
      </c>
      <c r="C357" s="17">
        <f t="shared" ref="C357:T357" si="48">SUM(C351:C355)</f>
        <v>530</v>
      </c>
      <c r="D357" s="82">
        <f t="shared" si="48"/>
        <v>16</v>
      </c>
      <c r="E357" s="82">
        <f t="shared" si="48"/>
        <v>18.25</v>
      </c>
      <c r="F357" s="82">
        <f t="shared" si="48"/>
        <v>81.319999999999993</v>
      </c>
      <c r="G357" s="82">
        <f t="shared" si="48"/>
        <v>470.07499999999999</v>
      </c>
      <c r="H357" s="82">
        <f t="shared" si="48"/>
        <v>66.409999999999982</v>
      </c>
      <c r="I357" s="82">
        <f t="shared" si="48"/>
        <v>0.35750000000000004</v>
      </c>
      <c r="J357" s="82">
        <f t="shared" si="48"/>
        <v>85.275000000000006</v>
      </c>
      <c r="K357" s="82">
        <f t="shared" si="48"/>
        <v>0.21750000000000003</v>
      </c>
      <c r="L357" s="82">
        <f t="shared" si="48"/>
        <v>1.05</v>
      </c>
      <c r="M357" s="82">
        <f t="shared" si="48"/>
        <v>421.05</v>
      </c>
      <c r="N357" s="82">
        <f t="shared" si="48"/>
        <v>244.15</v>
      </c>
      <c r="O357" s="83">
        <f t="shared" si="48"/>
        <v>68.150000000000006</v>
      </c>
      <c r="P357" s="83">
        <f t="shared" si="48"/>
        <v>332.75</v>
      </c>
      <c r="Q357" s="83">
        <f t="shared" si="48"/>
        <v>14.615</v>
      </c>
      <c r="R357" s="83">
        <f t="shared" si="48"/>
        <v>67</v>
      </c>
      <c r="S357" s="158">
        <f t="shared" si="48"/>
        <v>45.085000000000008</v>
      </c>
      <c r="T357" s="83">
        <f t="shared" si="48"/>
        <v>55.55</v>
      </c>
    </row>
    <row r="358" spans="1:20" ht="15" customHeight="1" x14ac:dyDescent="0.25">
      <c r="A358" s="289" t="s">
        <v>26</v>
      </c>
      <c r="B358" s="297"/>
      <c r="C358" s="297"/>
      <c r="D358" s="297"/>
      <c r="E358" s="297"/>
      <c r="F358" s="297"/>
      <c r="G358" s="297"/>
      <c r="H358" s="312"/>
      <c r="I358" s="312"/>
      <c r="J358" s="312"/>
      <c r="K358" s="312"/>
      <c r="L358" s="312"/>
      <c r="M358" s="313"/>
      <c r="N358" s="313"/>
      <c r="O358" s="313"/>
      <c r="P358" s="313"/>
      <c r="Q358" s="313"/>
      <c r="R358" s="313"/>
      <c r="S358" s="313"/>
      <c r="T358" s="314"/>
    </row>
    <row r="359" spans="1:20" ht="15" customHeight="1" x14ac:dyDescent="0.25">
      <c r="A359" s="8" t="s">
        <v>144</v>
      </c>
      <c r="B359" s="5" t="s">
        <v>81</v>
      </c>
      <c r="C359" s="90">
        <v>60</v>
      </c>
      <c r="D359" s="25">
        <f>0.8/60*C359</f>
        <v>0.8</v>
      </c>
      <c r="E359" s="25">
        <f>2.7/60*C359</f>
        <v>2.7</v>
      </c>
      <c r="F359" s="25">
        <f>4.6/60*C359</f>
        <v>4.5999999999999996</v>
      </c>
      <c r="G359" s="25">
        <f>45.6/60*C359</f>
        <v>45.6</v>
      </c>
      <c r="H359" s="25">
        <f>0.01/60*C359</f>
        <v>0.01</v>
      </c>
      <c r="I359" s="25">
        <f>0.02/60*C359</f>
        <v>0.02</v>
      </c>
      <c r="J359" s="25">
        <f>0.68/60*C359</f>
        <v>0.68</v>
      </c>
      <c r="K359" s="25">
        <v>0</v>
      </c>
      <c r="L359" s="25">
        <f>2.28/60*C359</f>
        <v>2.2799999999999998</v>
      </c>
      <c r="M359" s="25">
        <f>136/60*C359</f>
        <v>136</v>
      </c>
      <c r="N359" s="25">
        <f>19/60*C359</f>
        <v>19</v>
      </c>
      <c r="O359" s="25">
        <f>11/60*C359</f>
        <v>11</v>
      </c>
      <c r="P359" s="25">
        <f>22/60*C359</f>
        <v>22</v>
      </c>
      <c r="Q359" s="25">
        <f>0.7/60*C359</f>
        <v>0.7</v>
      </c>
      <c r="R359" s="25">
        <f>12/60*C359</f>
        <v>12</v>
      </c>
      <c r="S359" s="86">
        <f>0.35/60*C359</f>
        <v>0.35</v>
      </c>
      <c r="T359" s="25">
        <f>11/60*C359</f>
        <v>11</v>
      </c>
    </row>
    <row r="360" spans="1:20" ht="15" customHeight="1" x14ac:dyDescent="0.25">
      <c r="A360" s="19">
        <v>63</v>
      </c>
      <c r="B360" s="243" t="s">
        <v>104</v>
      </c>
      <c r="C360" s="122">
        <v>150</v>
      </c>
      <c r="D360" s="42">
        <v>1.45</v>
      </c>
      <c r="E360" s="42">
        <f>3.2/200*C360</f>
        <v>2.4</v>
      </c>
      <c r="F360" s="42">
        <f>9.8/200*C360</f>
        <v>7.3500000000000005</v>
      </c>
      <c r="G360" s="42">
        <f>86/200*C360</f>
        <v>64.5</v>
      </c>
      <c r="H360" s="124">
        <f>0.05/200*C360</f>
        <v>3.7499999999999999E-2</v>
      </c>
      <c r="I360" s="124">
        <f>0.7/200*C360</f>
        <v>0.52499999999999991</v>
      </c>
      <c r="J360" s="124">
        <f>0.17/200*C360</f>
        <v>0.1275</v>
      </c>
      <c r="K360" s="124">
        <f>36.4/200*C360</f>
        <v>27.3</v>
      </c>
      <c r="L360" s="124">
        <f>9.6/200*C360</f>
        <v>7.2</v>
      </c>
      <c r="M360" s="124">
        <f>270.4/200*C360</f>
        <v>202.79999999999998</v>
      </c>
      <c r="N360" s="124">
        <f>20.6/200*C360</f>
        <v>15.450000000000001</v>
      </c>
      <c r="O360" s="124">
        <f>15.7/200*C360</f>
        <v>11.775</v>
      </c>
      <c r="P360" s="124">
        <f>30/200*C360</f>
        <v>22.5</v>
      </c>
      <c r="Q360" s="124">
        <f>4.62/200*C360</f>
        <v>3.4649999999999999</v>
      </c>
      <c r="R360" s="124">
        <f>0.85/200*C360</f>
        <v>0.63750000000000007</v>
      </c>
      <c r="S360" s="124">
        <f>2.62/200*C360</f>
        <v>1.9650000000000001</v>
      </c>
      <c r="T360" s="25">
        <f>154/200*C360</f>
        <v>115.5</v>
      </c>
    </row>
    <row r="361" spans="1:20" ht="15" customHeight="1" x14ac:dyDescent="0.25">
      <c r="A361" s="8" t="s">
        <v>153</v>
      </c>
      <c r="B361" s="113" t="s">
        <v>40</v>
      </c>
      <c r="C361" s="104">
        <v>150</v>
      </c>
      <c r="D361" s="62">
        <f>3.1/150*C361</f>
        <v>3.1</v>
      </c>
      <c r="E361" s="62">
        <f>5.3/150*C361</f>
        <v>5.3</v>
      </c>
      <c r="F361" s="62">
        <v>19.8</v>
      </c>
      <c r="G361" s="21">
        <f>139.4/150*C361</f>
        <v>139.4</v>
      </c>
      <c r="H361" s="61">
        <f>0.12/150*C361</f>
        <v>0.12</v>
      </c>
      <c r="I361" s="61">
        <f>0.11/150*C361</f>
        <v>0.11</v>
      </c>
      <c r="J361" s="61">
        <f>23.8/150*C361</f>
        <v>23.8</v>
      </c>
      <c r="K361" s="61">
        <f>0.0915*C361</f>
        <v>13.725</v>
      </c>
      <c r="L361" s="61">
        <f>10.2/150*C361</f>
        <v>10.199999999999999</v>
      </c>
      <c r="M361" s="61">
        <f>625/150*C361</f>
        <v>625</v>
      </c>
      <c r="N361" s="61">
        <f>39/150*C361</f>
        <v>39</v>
      </c>
      <c r="O361" s="61">
        <f>28/150*C361</f>
        <v>28</v>
      </c>
      <c r="P361" s="61">
        <f>84/150*C361</f>
        <v>84.000000000000014</v>
      </c>
      <c r="Q361" s="61">
        <f>1.03/150*C361</f>
        <v>1.03</v>
      </c>
      <c r="R361" s="61">
        <f>28/150*C361</f>
        <v>28</v>
      </c>
      <c r="S361" s="61">
        <f>0.78/150*C361</f>
        <v>0.77999999999999992</v>
      </c>
      <c r="T361" s="61">
        <f>43/150*C361</f>
        <v>43</v>
      </c>
    </row>
    <row r="362" spans="1:20" ht="15" customHeight="1" x14ac:dyDescent="0.25">
      <c r="A362" s="19" t="s">
        <v>154</v>
      </c>
      <c r="B362" s="32" t="s">
        <v>61</v>
      </c>
      <c r="C362" s="20">
        <v>90</v>
      </c>
      <c r="D362" s="21">
        <f>12.9/100*C362</f>
        <v>11.61</v>
      </c>
      <c r="E362" s="21">
        <f>4/100*C362</f>
        <v>3.6</v>
      </c>
      <c r="F362" s="21">
        <f>6.1/100*C362</f>
        <v>5.49</v>
      </c>
      <c r="G362" s="21">
        <f>112.2/100*C362</f>
        <v>100.98</v>
      </c>
      <c r="H362" s="21">
        <f>0.08/100*C362</f>
        <v>7.2000000000000008E-2</v>
      </c>
      <c r="I362" s="21">
        <f>0.13/100*C362</f>
        <v>0.11699999999999999</v>
      </c>
      <c r="J362" s="21">
        <f>295/100*C362</f>
        <v>265.5</v>
      </c>
      <c r="K362" s="21">
        <f>0.46/100*C362</f>
        <v>0.41399999999999998</v>
      </c>
      <c r="L362" s="21">
        <f>0.94/100*C362</f>
        <v>0.84599999999999986</v>
      </c>
      <c r="M362" s="21">
        <f>316/100*C362</f>
        <v>284.40000000000003</v>
      </c>
      <c r="N362" s="21">
        <f>51/100*C362</f>
        <v>45.9</v>
      </c>
      <c r="O362" s="21">
        <f>44/100*C362</f>
        <v>39.6</v>
      </c>
      <c r="P362" s="21">
        <f>189/100*C362</f>
        <v>170.1</v>
      </c>
      <c r="Q362" s="21">
        <f>1.05/100*C362</f>
        <v>0.94500000000000006</v>
      </c>
      <c r="R362" s="21">
        <f>122/100*C362</f>
        <v>109.8</v>
      </c>
      <c r="S362" s="89">
        <f>13.6/100*C362</f>
        <v>12.24</v>
      </c>
      <c r="T362" s="21">
        <f>494/100*C362</f>
        <v>444.6</v>
      </c>
    </row>
    <row r="363" spans="1:20" ht="15" customHeight="1" x14ac:dyDescent="0.25">
      <c r="A363" s="131" t="s">
        <v>131</v>
      </c>
      <c r="B363" s="97" t="s">
        <v>41</v>
      </c>
      <c r="C363" s="41">
        <v>50</v>
      </c>
      <c r="D363" s="42">
        <f>0.54/30*C363</f>
        <v>0.90000000000000013</v>
      </c>
      <c r="E363" s="42">
        <f>3.67/30*C363</f>
        <v>6.1166666666666671</v>
      </c>
      <c r="F363" s="42">
        <f>5.24/30*C363</f>
        <v>8.7333333333333325</v>
      </c>
      <c r="G363" s="42">
        <f>56.16/30*C363</f>
        <v>93.6</v>
      </c>
      <c r="H363" s="42">
        <f>0.01/30*C363</f>
        <v>1.6666666666666666E-2</v>
      </c>
      <c r="I363" s="42">
        <v>0</v>
      </c>
      <c r="J363" s="42">
        <v>0</v>
      </c>
      <c r="K363" s="42">
        <f>0.23/30*C363</f>
        <v>0.38333333333333336</v>
      </c>
      <c r="L363" s="42">
        <f>1.68/30*C363</f>
        <v>2.8000000000000003</v>
      </c>
      <c r="M363" s="42">
        <f>2/30*C363</f>
        <v>3.3333333333333335</v>
      </c>
      <c r="N363" s="42">
        <f>5/30*C363</f>
        <v>8.3333333333333321</v>
      </c>
      <c r="O363" s="42">
        <v>0</v>
      </c>
      <c r="P363" s="42">
        <f>23.6/30*C363</f>
        <v>39.333333333333336</v>
      </c>
      <c r="Q363" s="42">
        <v>0</v>
      </c>
      <c r="R363" s="42">
        <f>0.01/30*C363</f>
        <v>1.6666666666666666E-2</v>
      </c>
      <c r="S363" s="165">
        <v>0</v>
      </c>
      <c r="T363" s="25">
        <f>0.04/30*C363</f>
        <v>6.6666666666666666E-2</v>
      </c>
    </row>
    <row r="364" spans="1:20" ht="15" customHeight="1" x14ac:dyDescent="0.25">
      <c r="A364" s="196">
        <v>254</v>
      </c>
      <c r="B364" s="97" t="s">
        <v>77</v>
      </c>
      <c r="C364" s="9">
        <v>200</v>
      </c>
      <c r="D364" s="10">
        <v>1.8</v>
      </c>
      <c r="E364" s="10">
        <f>2.9/200*C364</f>
        <v>2.9</v>
      </c>
      <c r="F364" s="10">
        <v>22.3</v>
      </c>
      <c r="G364" s="10">
        <f>86/200*C364</f>
        <v>86</v>
      </c>
      <c r="H364" s="10">
        <f>0.03/200*C364</f>
        <v>0.03</v>
      </c>
      <c r="I364" s="10">
        <f>0.13/200*C364</f>
        <v>0.13</v>
      </c>
      <c r="J364" s="10">
        <f>13.3/200*C364</f>
        <v>13.3</v>
      </c>
      <c r="K364" s="10">
        <v>0</v>
      </c>
      <c r="L364" s="10">
        <f>0.52/200*C364</f>
        <v>0.52</v>
      </c>
      <c r="M364" s="11">
        <f>184/200*C364</f>
        <v>184</v>
      </c>
      <c r="N364" s="12">
        <f>111/200*C364</f>
        <v>111.00000000000001</v>
      </c>
      <c r="O364" s="12">
        <f>31/200*C364</f>
        <v>31</v>
      </c>
      <c r="P364" s="12">
        <f>107/200*C364</f>
        <v>107</v>
      </c>
      <c r="Q364" s="12">
        <f>1.07/200*C364</f>
        <v>1.07</v>
      </c>
      <c r="R364" s="12">
        <f>9/200*C364</f>
        <v>9</v>
      </c>
      <c r="S364" s="157">
        <f>1.76/200*C364</f>
        <v>1.76</v>
      </c>
      <c r="T364" s="12">
        <f>20/200*C364</f>
        <v>20</v>
      </c>
    </row>
    <row r="365" spans="1:20" ht="15" customHeight="1" x14ac:dyDescent="0.25">
      <c r="A365" s="95" t="s">
        <v>124</v>
      </c>
      <c r="B365" s="35" t="s">
        <v>23</v>
      </c>
      <c r="C365" s="6">
        <v>60</v>
      </c>
      <c r="D365" s="10">
        <f>1.5/25*C365</f>
        <v>3.5999999999999996</v>
      </c>
      <c r="E365" s="10">
        <f>0.5/25*C365</f>
        <v>1.2</v>
      </c>
      <c r="F365" s="10">
        <f>10.2/25*C365</f>
        <v>24.479999999999997</v>
      </c>
      <c r="G365" s="10">
        <f>52/25*C365</f>
        <v>124.80000000000001</v>
      </c>
      <c r="H365" s="10">
        <f>0.1/25*C365</f>
        <v>0.24</v>
      </c>
      <c r="I365" s="10">
        <f>0.08/25*C365</f>
        <v>0.192</v>
      </c>
      <c r="J365" s="10">
        <v>0</v>
      </c>
      <c r="K365" s="10">
        <v>0</v>
      </c>
      <c r="L365" s="10">
        <f>0.1/25*C365</f>
        <v>0.24</v>
      </c>
      <c r="M365" s="10">
        <f>41.5/25*C365</f>
        <v>99.6</v>
      </c>
      <c r="N365" s="10">
        <f>19.75/25*C365</f>
        <v>47.400000000000006</v>
      </c>
      <c r="O365" s="10">
        <f>10/25*C365</f>
        <v>24</v>
      </c>
      <c r="P365" s="10">
        <f>31.25/25*C365</f>
        <v>75</v>
      </c>
      <c r="Q365" s="10">
        <f>10/25*C365</f>
        <v>24</v>
      </c>
      <c r="R365" s="10">
        <f>0.7/25*C365</f>
        <v>1.6799999999999997</v>
      </c>
      <c r="S365" s="172">
        <f>7.73/25*C365</f>
        <v>18.552000000000003</v>
      </c>
      <c r="T365" s="10">
        <f>12.75/25*C365</f>
        <v>30.6</v>
      </c>
    </row>
    <row r="366" spans="1:20" ht="15" customHeight="1" x14ac:dyDescent="0.25">
      <c r="A366" s="95" t="s">
        <v>124</v>
      </c>
      <c r="B366" s="32" t="s">
        <v>24</v>
      </c>
      <c r="C366" s="16">
        <v>30</v>
      </c>
      <c r="D366" s="25">
        <f>3.4/45*C366</f>
        <v>2.2666666666666666</v>
      </c>
      <c r="E366" s="25">
        <f>0.4/45*C366</f>
        <v>0.26666666666666666</v>
      </c>
      <c r="F366" s="25">
        <f>22.1/45*C366</f>
        <v>14.733333333333334</v>
      </c>
      <c r="G366" s="25">
        <f>105.8/45*C366</f>
        <v>70.533333333333331</v>
      </c>
      <c r="H366" s="25">
        <f>0.05/45*C366</f>
        <v>3.3333333333333333E-2</v>
      </c>
      <c r="I366" s="25">
        <f>0.01/45*C366</f>
        <v>6.6666666666666671E-3</v>
      </c>
      <c r="J366" s="25">
        <v>0</v>
      </c>
      <c r="K366" s="25">
        <v>0</v>
      </c>
      <c r="L366" s="25">
        <v>0</v>
      </c>
      <c r="M366" s="25">
        <f>46.5/45*C366</f>
        <v>31.000000000000004</v>
      </c>
      <c r="N366" s="27">
        <f>10/45*C366</f>
        <v>6.6666666666666661</v>
      </c>
      <c r="O366" s="27">
        <f>7/45*C366</f>
        <v>4.666666666666667</v>
      </c>
      <c r="P366" s="27">
        <f>32.5/45*C366</f>
        <v>21.666666666666668</v>
      </c>
      <c r="Q366" s="27">
        <f>1.6/45*C366</f>
        <v>1.0666666666666667</v>
      </c>
      <c r="R366" s="27">
        <f>0.55/45*C366</f>
        <v>0.3666666666666667</v>
      </c>
      <c r="S366" s="166">
        <f>3/45*C366</f>
        <v>2</v>
      </c>
      <c r="T366" s="27">
        <f>7.5/45*C366</f>
        <v>5</v>
      </c>
    </row>
    <row r="367" spans="1:20" ht="15" customHeight="1" x14ac:dyDescent="0.25">
      <c r="A367" s="95"/>
      <c r="B367" s="211"/>
      <c r="C367" s="212"/>
      <c r="D367" s="103"/>
      <c r="E367" s="103"/>
      <c r="F367" s="103"/>
      <c r="G367" s="103"/>
      <c r="H367" s="155"/>
      <c r="I367" s="106"/>
      <c r="J367" s="106"/>
      <c r="K367" s="11"/>
      <c r="L367" s="11"/>
      <c r="M367" s="11"/>
      <c r="N367" s="12"/>
      <c r="O367" s="12"/>
      <c r="P367" s="12"/>
      <c r="Q367" s="12"/>
      <c r="R367" s="12"/>
      <c r="S367" s="157"/>
      <c r="T367" s="12"/>
    </row>
    <row r="368" spans="1:20" ht="15" customHeight="1" x14ac:dyDescent="0.25">
      <c r="A368" s="4"/>
      <c r="B368" s="71" t="s">
        <v>29</v>
      </c>
      <c r="C368" s="98">
        <f t="shared" ref="C368:T368" si="49">SUM(C359:C366)</f>
        <v>790</v>
      </c>
      <c r="D368" s="75">
        <f t="shared" si="49"/>
        <v>25.526666666666664</v>
      </c>
      <c r="E368" s="71">
        <f t="shared" si="49"/>
        <v>24.483333333333331</v>
      </c>
      <c r="F368" s="71">
        <f t="shared" si="49"/>
        <v>107.48666666666666</v>
      </c>
      <c r="G368" s="75">
        <f t="shared" si="49"/>
        <v>725.41333333333341</v>
      </c>
      <c r="H368" s="75">
        <f t="shared" si="49"/>
        <v>0.5595</v>
      </c>
      <c r="I368" s="75">
        <f t="shared" si="49"/>
        <v>1.1006666666666665</v>
      </c>
      <c r="J368" s="71">
        <f t="shared" si="49"/>
        <v>303.40750000000003</v>
      </c>
      <c r="K368" s="71">
        <f t="shared" si="49"/>
        <v>41.822333333333333</v>
      </c>
      <c r="L368" s="71">
        <f t="shared" si="49"/>
        <v>24.085999999999999</v>
      </c>
      <c r="M368" s="71">
        <f t="shared" si="49"/>
        <v>1566.1333333333332</v>
      </c>
      <c r="N368" s="71">
        <f t="shared" si="49"/>
        <v>292.75000000000006</v>
      </c>
      <c r="O368" s="71">
        <f t="shared" si="49"/>
        <v>150.04166666666666</v>
      </c>
      <c r="P368" s="71">
        <f t="shared" si="49"/>
        <v>541.6</v>
      </c>
      <c r="Q368" s="71">
        <f t="shared" si="49"/>
        <v>32.276666666666671</v>
      </c>
      <c r="R368" s="71">
        <f t="shared" si="49"/>
        <v>161.50083333333336</v>
      </c>
      <c r="S368" s="71">
        <f t="shared" si="49"/>
        <v>37.647000000000006</v>
      </c>
      <c r="T368" s="71">
        <f t="shared" si="49"/>
        <v>669.76666666666677</v>
      </c>
    </row>
    <row r="369" spans="1:20" ht="15" customHeight="1" x14ac:dyDescent="0.25">
      <c r="A369" s="298" t="s">
        <v>30</v>
      </c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315"/>
    </row>
    <row r="370" spans="1:20" ht="15" customHeight="1" x14ac:dyDescent="0.25">
      <c r="A370" s="4">
        <v>59</v>
      </c>
      <c r="B370" s="32" t="s">
        <v>31</v>
      </c>
      <c r="C370" s="29">
        <v>100</v>
      </c>
      <c r="D370" s="33">
        <f>4.8/60*C370</f>
        <v>8</v>
      </c>
      <c r="E370" s="33">
        <v>8.33</v>
      </c>
      <c r="F370" s="33">
        <v>33.86</v>
      </c>
      <c r="G370" s="33">
        <v>255.6</v>
      </c>
      <c r="H370" s="33">
        <f>0.2/60*C370</f>
        <v>0.33333333333333337</v>
      </c>
      <c r="I370" s="33">
        <f>0.1/60*C370</f>
        <v>0.16666666666666669</v>
      </c>
      <c r="J370" s="34">
        <f>3/60*C370</f>
        <v>5</v>
      </c>
      <c r="K370" s="33">
        <v>0</v>
      </c>
      <c r="L370" s="33">
        <f>0.7/60*C370</f>
        <v>1.1666666666666665</v>
      </c>
      <c r="M370" s="33">
        <f>61.8/60*C370</f>
        <v>103</v>
      </c>
      <c r="N370" s="33">
        <f>51.6/60*C370</f>
        <v>86</v>
      </c>
      <c r="O370" s="33">
        <f>14.4/60*C370</f>
        <v>24.000000000000004</v>
      </c>
      <c r="P370" s="33">
        <v>0</v>
      </c>
      <c r="Q370" s="33">
        <v>0</v>
      </c>
      <c r="R370" s="33">
        <f>1.7/60*C370</f>
        <v>2.833333333333333</v>
      </c>
      <c r="S370" s="160">
        <f>15.7/60*C370</f>
        <v>26.166666666666664</v>
      </c>
      <c r="T370" s="33">
        <f>56.4/60*C370</f>
        <v>94</v>
      </c>
    </row>
    <row r="371" spans="1:20" ht="15" customHeight="1" x14ac:dyDescent="0.25">
      <c r="A371" s="8">
        <v>233</v>
      </c>
      <c r="B371" s="5" t="s">
        <v>99</v>
      </c>
      <c r="C371" s="26">
        <v>200</v>
      </c>
      <c r="D371" s="61">
        <f>0.2/200*C371</f>
        <v>0.2</v>
      </c>
      <c r="E371" s="61">
        <v>0.3</v>
      </c>
      <c r="F371" s="61">
        <f>12.3/200*C371</f>
        <v>12.3</v>
      </c>
      <c r="G371" s="133">
        <f>50.5/200*C371</f>
        <v>50.5</v>
      </c>
      <c r="H371" s="126">
        <f>0.01/200*C371</f>
        <v>0.01</v>
      </c>
      <c r="I371" s="126">
        <f>0.01/200*C371</f>
        <v>0.01</v>
      </c>
      <c r="J371" s="126">
        <f>2.45/200*C371</f>
        <v>2.4500000000000002</v>
      </c>
      <c r="K371" s="126">
        <v>0</v>
      </c>
      <c r="L371" s="126">
        <f>19.2/200*C371</f>
        <v>19.2</v>
      </c>
      <c r="M371" s="126">
        <f>70.6/200*C371</f>
        <v>70.599999999999994</v>
      </c>
      <c r="N371" s="126">
        <f>9.8/200*C371</f>
        <v>9.8000000000000007</v>
      </c>
      <c r="O371" s="126">
        <f>6.5/200*C371</f>
        <v>6.5</v>
      </c>
      <c r="P371" s="126">
        <f>11/200*C371</f>
        <v>11</v>
      </c>
      <c r="Q371" s="127">
        <f>0.29/200*C371</f>
        <v>0.28999999999999998</v>
      </c>
      <c r="R371" s="126">
        <f>0.2/200*C371</f>
        <v>0.2</v>
      </c>
      <c r="S371" s="126">
        <f>0.23/200*C371</f>
        <v>0.22999999999999998</v>
      </c>
      <c r="T371" s="126">
        <f>4.08/200*C371</f>
        <v>4.08</v>
      </c>
    </row>
    <row r="372" spans="1:20" ht="15" customHeight="1" x14ac:dyDescent="0.25">
      <c r="A372" s="4"/>
      <c r="B372" s="4"/>
      <c r="C372" s="29"/>
      <c r="D372" s="30"/>
      <c r="E372" s="30"/>
      <c r="F372" s="30"/>
      <c r="G372" s="30"/>
      <c r="H372" s="30"/>
      <c r="I372" s="30"/>
      <c r="J372" s="31"/>
      <c r="K372" s="30"/>
      <c r="L372" s="30"/>
      <c r="M372" s="30"/>
      <c r="N372" s="30"/>
      <c r="O372" s="30"/>
      <c r="P372" s="30"/>
      <c r="Q372" s="30"/>
      <c r="R372" s="30"/>
      <c r="S372" s="161"/>
      <c r="T372" s="30"/>
    </row>
    <row r="373" spans="1:20" ht="15" customHeight="1" x14ac:dyDescent="0.25">
      <c r="A373" s="4"/>
      <c r="B373" s="28" t="s">
        <v>32</v>
      </c>
      <c r="C373" s="29">
        <f>SUM(C370:C371)</f>
        <v>300</v>
      </c>
      <c r="D373" s="30">
        <f>SUM(D370:D371)</f>
        <v>8.1999999999999993</v>
      </c>
      <c r="E373" s="30">
        <f t="shared" ref="E373:Q373" si="50">SUM(E370:E371)</f>
        <v>8.6300000000000008</v>
      </c>
      <c r="F373" s="30">
        <f t="shared" si="50"/>
        <v>46.16</v>
      </c>
      <c r="G373" s="30">
        <f t="shared" si="50"/>
        <v>306.10000000000002</v>
      </c>
      <c r="H373" s="30">
        <f t="shared" si="50"/>
        <v>0.34333333333333338</v>
      </c>
      <c r="I373" s="30">
        <f t="shared" si="50"/>
        <v>0.17666666666666669</v>
      </c>
      <c r="J373" s="30">
        <f t="shared" si="50"/>
        <v>7.45</v>
      </c>
      <c r="K373" s="30">
        <f t="shared" si="50"/>
        <v>0</v>
      </c>
      <c r="L373" s="30">
        <f t="shared" si="50"/>
        <v>20.366666666666667</v>
      </c>
      <c r="M373" s="30">
        <f t="shared" si="50"/>
        <v>173.6</v>
      </c>
      <c r="N373" s="30">
        <f t="shared" si="50"/>
        <v>95.8</v>
      </c>
      <c r="O373" s="30">
        <f t="shared" si="50"/>
        <v>30.500000000000004</v>
      </c>
      <c r="P373" s="30">
        <f t="shared" si="50"/>
        <v>11</v>
      </c>
      <c r="Q373" s="30">
        <f t="shared" si="50"/>
        <v>0.28999999999999998</v>
      </c>
      <c r="R373" s="30">
        <f>SUM(R370:R371)</f>
        <v>3.0333333333333332</v>
      </c>
      <c r="S373" s="161">
        <f>SUM(S370:S371)</f>
        <v>26.396666666666665</v>
      </c>
      <c r="T373" s="30">
        <f>SUM(T370:T371)</f>
        <v>98.08</v>
      </c>
    </row>
    <row r="374" spans="1:20" ht="15" customHeight="1" x14ac:dyDescent="0.25">
      <c r="A374" s="4"/>
      <c r="B374" s="28" t="s">
        <v>33</v>
      </c>
      <c r="C374" s="29">
        <f t="shared" ref="C374:Q374" si="51">C373+C368+C357</f>
        <v>1620</v>
      </c>
      <c r="D374" s="30">
        <f t="shared" si="51"/>
        <v>49.726666666666659</v>
      </c>
      <c r="E374" s="29">
        <f t="shared" si="51"/>
        <v>51.36333333333333</v>
      </c>
      <c r="F374" s="29">
        <f t="shared" si="51"/>
        <v>234.96666666666664</v>
      </c>
      <c r="G374" s="30">
        <f t="shared" si="51"/>
        <v>1501.5883333333334</v>
      </c>
      <c r="H374" s="29">
        <f t="shared" si="51"/>
        <v>67.312833333333316</v>
      </c>
      <c r="I374" s="30">
        <f t="shared" si="51"/>
        <v>1.6348333333333334</v>
      </c>
      <c r="J374" s="29">
        <f t="shared" si="51"/>
        <v>396.13250000000005</v>
      </c>
      <c r="K374" s="29">
        <f t="shared" si="51"/>
        <v>42.039833333333334</v>
      </c>
      <c r="L374" s="29">
        <f t="shared" si="51"/>
        <v>45.502666666666663</v>
      </c>
      <c r="M374" s="29">
        <f t="shared" si="51"/>
        <v>2160.7833333333333</v>
      </c>
      <c r="N374" s="29">
        <f t="shared" si="51"/>
        <v>632.70000000000005</v>
      </c>
      <c r="O374" s="29">
        <f t="shared" si="51"/>
        <v>248.69166666666666</v>
      </c>
      <c r="P374" s="29">
        <f t="shared" si="51"/>
        <v>885.35</v>
      </c>
      <c r="Q374" s="29">
        <f t="shared" si="51"/>
        <v>47.181666666666672</v>
      </c>
      <c r="R374" s="29">
        <f>R373+R368+R357</f>
        <v>231.53416666666669</v>
      </c>
      <c r="S374" s="162">
        <f>S373+S368+S357</f>
        <v>109.12866666666667</v>
      </c>
      <c r="T374" s="29">
        <f>T373+T368+T357</f>
        <v>823.39666666666676</v>
      </c>
    </row>
    <row r="375" spans="1:20" ht="15" customHeight="1" x14ac:dyDescent="0.25">
      <c r="A375" s="293" t="s">
        <v>16</v>
      </c>
      <c r="B375" s="294"/>
      <c r="C375" s="294"/>
      <c r="D375" s="294"/>
      <c r="E375" s="294"/>
      <c r="F375" s="294"/>
      <c r="G375" s="294"/>
      <c r="H375" s="294"/>
      <c r="I375" s="294"/>
      <c r="J375" s="294"/>
      <c r="K375" s="294"/>
      <c r="L375" s="294"/>
      <c r="M375" s="294"/>
      <c r="N375" s="294"/>
      <c r="O375" s="294"/>
      <c r="P375" s="294"/>
      <c r="Q375" s="294"/>
      <c r="R375" s="294"/>
      <c r="S375" s="294"/>
      <c r="T375" s="307"/>
    </row>
    <row r="376" spans="1:20" ht="15" customHeight="1" x14ac:dyDescent="0.25">
      <c r="A376" s="293" t="s">
        <v>201</v>
      </c>
      <c r="B376" s="294"/>
      <c r="C376" s="294"/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94"/>
      <c r="P376" s="294"/>
      <c r="Q376" s="294"/>
      <c r="R376" s="294"/>
      <c r="S376" s="294"/>
      <c r="T376" s="307"/>
    </row>
    <row r="377" spans="1:20" ht="15" customHeight="1" x14ac:dyDescent="0.25">
      <c r="A377" s="285" t="s">
        <v>18</v>
      </c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308"/>
    </row>
    <row r="378" spans="1:20" ht="15" customHeight="1" x14ac:dyDescent="0.25">
      <c r="A378" s="287" t="s">
        <v>19</v>
      </c>
      <c r="B378" s="296"/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309"/>
    </row>
    <row r="379" spans="1:20" ht="15" customHeight="1" x14ac:dyDescent="0.25">
      <c r="A379" s="8">
        <v>98</v>
      </c>
      <c r="B379" s="5" t="s">
        <v>89</v>
      </c>
      <c r="C379" s="26">
        <v>250</v>
      </c>
      <c r="D379" s="21">
        <f>3.6/200*C379</f>
        <v>4.5000000000000009</v>
      </c>
      <c r="E379" s="21">
        <v>10.8</v>
      </c>
      <c r="F379" s="21">
        <f>21.8/200*C379</f>
        <v>27.25</v>
      </c>
      <c r="G379" s="21">
        <v>169.2</v>
      </c>
      <c r="H379" s="21">
        <f>0.3/200*C379</f>
        <v>0.375</v>
      </c>
      <c r="I379" s="21">
        <f>0.1/200*C379</f>
        <v>0.125</v>
      </c>
      <c r="J379" s="21">
        <v>0</v>
      </c>
      <c r="K379" s="21">
        <v>125</v>
      </c>
      <c r="L379" s="7">
        <v>0.4</v>
      </c>
      <c r="M379" s="7">
        <v>304</v>
      </c>
      <c r="N379" s="7">
        <v>248</v>
      </c>
      <c r="O379" s="7">
        <v>30</v>
      </c>
      <c r="P379" s="7">
        <v>190</v>
      </c>
      <c r="Q379" s="7">
        <v>0.02</v>
      </c>
      <c r="R379" s="221">
        <f>10.72/200*C379</f>
        <v>13.4</v>
      </c>
      <c r="S379" s="128">
        <v>0</v>
      </c>
      <c r="T379" s="7">
        <v>0.04</v>
      </c>
    </row>
    <row r="380" spans="1:20" ht="15" customHeight="1" x14ac:dyDescent="0.25">
      <c r="A380" s="8" t="s">
        <v>134</v>
      </c>
      <c r="B380" s="32" t="s">
        <v>44</v>
      </c>
      <c r="C380" s="9">
        <v>200</v>
      </c>
      <c r="D380" s="10">
        <f>4.6/200*C380</f>
        <v>4.5999999999999996</v>
      </c>
      <c r="E380" s="10">
        <f>3.6/200*C380</f>
        <v>3.6000000000000005</v>
      </c>
      <c r="F380" s="10">
        <f>12.6/200*C380</f>
        <v>12.6</v>
      </c>
      <c r="G380" s="10">
        <f>100.4/200*C380</f>
        <v>100.4</v>
      </c>
      <c r="H380" s="10">
        <f>0.04/200*C380</f>
        <v>0.04</v>
      </c>
      <c r="I380" s="10">
        <f>0.17/200*C380</f>
        <v>0.17</v>
      </c>
      <c r="J380" s="10">
        <f>17.3/200*C380</f>
        <v>17.3</v>
      </c>
      <c r="K380" s="10">
        <v>0</v>
      </c>
      <c r="L380" s="10">
        <f>0.68/200*C380</f>
        <v>0.68</v>
      </c>
      <c r="M380" s="11">
        <f>220/200*C380</f>
        <v>220.00000000000003</v>
      </c>
      <c r="N380" s="12">
        <f>143/200*C380</f>
        <v>143</v>
      </c>
      <c r="O380" s="12">
        <f>34/200*C380</f>
        <v>34</v>
      </c>
      <c r="P380" s="12">
        <f>130/200*C380</f>
        <v>130</v>
      </c>
      <c r="Q380" s="12">
        <f>1.09/200*C380</f>
        <v>1.0900000000000001</v>
      </c>
      <c r="R380" s="12">
        <f>12/200*C380</f>
        <v>12</v>
      </c>
      <c r="S380" s="157">
        <f>2.29/200*C380</f>
        <v>2.29</v>
      </c>
      <c r="T380" s="12">
        <f>38/200*C380</f>
        <v>38</v>
      </c>
    </row>
    <row r="381" spans="1:20" ht="15" customHeight="1" x14ac:dyDescent="0.25">
      <c r="A381" s="14" t="s">
        <v>135</v>
      </c>
      <c r="B381" s="35" t="s">
        <v>22</v>
      </c>
      <c r="C381" s="6">
        <v>15</v>
      </c>
      <c r="D381" s="7">
        <f>3.5/15*C381</f>
        <v>3.5</v>
      </c>
      <c r="E381" s="7">
        <f>4.4/15*C381</f>
        <v>4.4000000000000004</v>
      </c>
      <c r="F381" s="7">
        <v>0</v>
      </c>
      <c r="G381" s="7">
        <f>53.7/15*C381</f>
        <v>53.7</v>
      </c>
      <c r="H381" s="7">
        <f>0.01/15*C381</f>
        <v>0.01</v>
      </c>
      <c r="I381" s="7">
        <f>0.05/15*C381</f>
        <v>0.05</v>
      </c>
      <c r="J381" s="7">
        <f>39/15*C381</f>
        <v>39</v>
      </c>
      <c r="K381" s="7">
        <f>0.15/15*C381</f>
        <v>0.15</v>
      </c>
      <c r="L381" s="7">
        <f>0.11/15*C381</f>
        <v>0.11</v>
      </c>
      <c r="M381" s="7">
        <f>13/15*C381</f>
        <v>13</v>
      </c>
      <c r="N381" s="7">
        <f>132/15*C381</f>
        <v>132</v>
      </c>
      <c r="O381" s="7">
        <f>5.3/15*C381</f>
        <v>5.3</v>
      </c>
      <c r="P381" s="7">
        <f>75/15*C381</f>
        <v>75</v>
      </c>
      <c r="Q381" s="7">
        <f>0.15/15*C381</f>
        <v>0.15</v>
      </c>
      <c r="R381" s="7">
        <v>0</v>
      </c>
      <c r="S381" s="128">
        <f>2.18/15*C381</f>
        <v>2.1800000000000002</v>
      </c>
      <c r="T381" s="7">
        <v>0</v>
      </c>
    </row>
    <row r="382" spans="1:20" ht="15" customHeight="1" x14ac:dyDescent="0.25">
      <c r="A382" s="14" t="s">
        <v>124</v>
      </c>
      <c r="B382" s="35" t="s">
        <v>23</v>
      </c>
      <c r="C382" s="6">
        <v>25</v>
      </c>
      <c r="D382" s="10">
        <f>1.5/25*C382</f>
        <v>1.5</v>
      </c>
      <c r="E382" s="10">
        <f>0.5/25*C382</f>
        <v>0.5</v>
      </c>
      <c r="F382" s="10">
        <f>10.2/25*C382</f>
        <v>10.199999999999999</v>
      </c>
      <c r="G382" s="10">
        <f>52/25*C382</f>
        <v>52</v>
      </c>
      <c r="H382" s="10">
        <f>0.1/25*C382</f>
        <v>0.1</v>
      </c>
      <c r="I382" s="10">
        <f>0.08/25*C382</f>
        <v>0.08</v>
      </c>
      <c r="J382" s="10">
        <v>0</v>
      </c>
      <c r="K382" s="10">
        <v>0</v>
      </c>
      <c r="L382" s="10">
        <f>0.1/25*C382</f>
        <v>0.1</v>
      </c>
      <c r="M382" s="10">
        <f>41.5/25*C382</f>
        <v>41.5</v>
      </c>
      <c r="N382" s="10">
        <f>19.75/25*C382</f>
        <v>19.75</v>
      </c>
      <c r="O382" s="10">
        <f>10/25*C382</f>
        <v>10</v>
      </c>
      <c r="P382" s="10">
        <f>31.25/25*C382</f>
        <v>31.25</v>
      </c>
      <c r="Q382" s="10">
        <f>10/25*C382</f>
        <v>10</v>
      </c>
      <c r="R382" s="10">
        <f>0.7/25*C382</f>
        <v>0.7</v>
      </c>
      <c r="S382" s="172">
        <f>7.73/25*C382</f>
        <v>7.73</v>
      </c>
      <c r="T382" s="10">
        <f>12.75/25*C382</f>
        <v>12.75</v>
      </c>
    </row>
    <row r="383" spans="1:20" ht="15" customHeight="1" x14ac:dyDescent="0.25">
      <c r="A383" s="14" t="s">
        <v>124</v>
      </c>
      <c r="B383" s="32" t="s">
        <v>24</v>
      </c>
      <c r="C383" s="16">
        <v>45</v>
      </c>
      <c r="D383" s="25">
        <f>3.4/45*C383</f>
        <v>3.4</v>
      </c>
      <c r="E383" s="25">
        <f>0.4/45*C383</f>
        <v>0.4</v>
      </c>
      <c r="F383" s="25">
        <f>22.1/45*C383</f>
        <v>22.1</v>
      </c>
      <c r="G383" s="25">
        <f>105.8/45*C383</f>
        <v>105.8</v>
      </c>
      <c r="H383" s="25">
        <f>0.05/45*C383</f>
        <v>0.05</v>
      </c>
      <c r="I383" s="25">
        <f>0.01/45*C383</f>
        <v>0.01</v>
      </c>
      <c r="J383" s="25">
        <v>0</v>
      </c>
      <c r="K383" s="25">
        <v>0</v>
      </c>
      <c r="L383" s="25">
        <v>0</v>
      </c>
      <c r="M383" s="25">
        <f>46.5/45*C383</f>
        <v>46.500000000000007</v>
      </c>
      <c r="N383" s="27">
        <f>10/45*C383</f>
        <v>10</v>
      </c>
      <c r="O383" s="27">
        <f>7/45*C383</f>
        <v>7</v>
      </c>
      <c r="P383" s="27">
        <f>32.5/45*C383</f>
        <v>32.5</v>
      </c>
      <c r="Q383" s="27">
        <f>1.6/45*C383</f>
        <v>1.6</v>
      </c>
      <c r="R383" s="27">
        <f>0.55/45*C383</f>
        <v>0.55000000000000004</v>
      </c>
      <c r="S383" s="166">
        <f>3/45*C383</f>
        <v>3</v>
      </c>
      <c r="T383" s="27">
        <f>7.5/45*C383</f>
        <v>7.5</v>
      </c>
    </row>
    <row r="384" spans="1:20" ht="15" customHeight="1" x14ac:dyDescent="0.25">
      <c r="A384" s="15"/>
      <c r="B384" s="4"/>
      <c r="C384" s="16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2"/>
      <c r="O384" s="12"/>
      <c r="P384" s="12"/>
      <c r="Q384" s="12"/>
      <c r="R384" s="12"/>
      <c r="S384" s="157"/>
      <c r="T384" s="12"/>
    </row>
    <row r="385" spans="1:20" ht="15" customHeight="1" x14ac:dyDescent="0.25">
      <c r="A385" s="17"/>
      <c r="B385" s="6" t="s">
        <v>25</v>
      </c>
      <c r="C385" s="17">
        <f t="shared" ref="C385:T385" si="52">SUM(C379:C383)</f>
        <v>535</v>
      </c>
      <c r="D385" s="82">
        <f t="shared" si="52"/>
        <v>17.5</v>
      </c>
      <c r="E385" s="82">
        <f t="shared" si="52"/>
        <v>19.700000000000003</v>
      </c>
      <c r="F385" s="82">
        <f t="shared" si="52"/>
        <v>72.150000000000006</v>
      </c>
      <c r="G385" s="82">
        <f t="shared" si="52"/>
        <v>481.1</v>
      </c>
      <c r="H385" s="82">
        <f t="shared" si="52"/>
        <v>0.57500000000000007</v>
      </c>
      <c r="I385" s="82">
        <f t="shared" si="52"/>
        <v>0.43500000000000005</v>
      </c>
      <c r="J385" s="82">
        <f t="shared" si="52"/>
        <v>56.3</v>
      </c>
      <c r="K385" s="82">
        <f t="shared" si="52"/>
        <v>125.15</v>
      </c>
      <c r="L385" s="82">
        <f t="shared" si="52"/>
        <v>1.2900000000000003</v>
      </c>
      <c r="M385" s="82">
        <f t="shared" si="52"/>
        <v>625</v>
      </c>
      <c r="N385" s="82">
        <f t="shared" si="52"/>
        <v>552.75</v>
      </c>
      <c r="O385" s="83">
        <f t="shared" si="52"/>
        <v>86.3</v>
      </c>
      <c r="P385" s="83">
        <f t="shared" si="52"/>
        <v>458.75</v>
      </c>
      <c r="Q385" s="83">
        <f t="shared" si="52"/>
        <v>12.86</v>
      </c>
      <c r="R385" s="83">
        <f t="shared" si="52"/>
        <v>26.65</v>
      </c>
      <c r="S385" s="158">
        <f t="shared" si="52"/>
        <v>15.200000000000001</v>
      </c>
      <c r="T385" s="83">
        <f t="shared" si="52"/>
        <v>58.29</v>
      </c>
    </row>
    <row r="386" spans="1:20" ht="15" customHeight="1" x14ac:dyDescent="0.25">
      <c r="A386" s="289" t="s">
        <v>26</v>
      </c>
      <c r="B386" s="297"/>
      <c r="C386" s="297"/>
      <c r="D386" s="297"/>
      <c r="E386" s="297"/>
      <c r="F386" s="297"/>
      <c r="G386" s="297"/>
      <c r="H386" s="312"/>
      <c r="I386" s="312"/>
      <c r="J386" s="312"/>
      <c r="K386" s="312"/>
      <c r="L386" s="312"/>
      <c r="M386" s="313"/>
      <c r="N386" s="313"/>
      <c r="O386" s="313"/>
      <c r="P386" s="313"/>
      <c r="Q386" s="313"/>
      <c r="R386" s="313"/>
      <c r="S386" s="313"/>
      <c r="T386" s="314"/>
    </row>
    <row r="387" spans="1:20" ht="15" customHeight="1" x14ac:dyDescent="0.25">
      <c r="A387" s="8" t="s">
        <v>127</v>
      </c>
      <c r="B387" s="32" t="s">
        <v>75</v>
      </c>
      <c r="C387" s="28">
        <v>50</v>
      </c>
      <c r="D387" s="56">
        <f>0.7/60*C387</f>
        <v>0.58333333333333326</v>
      </c>
      <c r="E387" s="21">
        <f>0.1/60*C387</f>
        <v>8.3333333333333343E-2</v>
      </c>
      <c r="F387" s="21">
        <f>2.3/60*C387</f>
        <v>1.9166666666666665</v>
      </c>
      <c r="G387" s="21">
        <f>12.8/60*C387</f>
        <v>10.666666666666668</v>
      </c>
      <c r="H387" s="25">
        <f>0.04/60*C387</f>
        <v>3.3333333333333333E-2</v>
      </c>
      <c r="I387" s="25">
        <f>0.02/60*C387</f>
        <v>1.6666666666666666E-2</v>
      </c>
      <c r="J387" s="61">
        <f>79.8/60*C387</f>
        <v>66.499999999999986</v>
      </c>
      <c r="K387" s="61">
        <v>0</v>
      </c>
      <c r="L387" s="61">
        <f>15/60*C387</f>
        <v>12.5</v>
      </c>
      <c r="M387" s="61">
        <f>174/60*C387</f>
        <v>145</v>
      </c>
      <c r="N387" s="61">
        <f>8.4/60*C387</f>
        <v>7.0000000000000009</v>
      </c>
      <c r="O387" s="61">
        <f>12/60*C387</f>
        <v>10</v>
      </c>
      <c r="P387" s="25">
        <f>16/60*C387</f>
        <v>13.333333333333334</v>
      </c>
      <c r="Q387" s="61">
        <f>0.54/60*C387</f>
        <v>0.45000000000000007</v>
      </c>
      <c r="R387" s="61">
        <f>1.2/60*C387</f>
        <v>1</v>
      </c>
      <c r="S387" s="133">
        <f>0.24/60*C387</f>
        <v>0.2</v>
      </c>
      <c r="T387" s="61">
        <f>12/60*C387</f>
        <v>10</v>
      </c>
    </row>
    <row r="388" spans="1:20" ht="15" customHeight="1" x14ac:dyDescent="0.25">
      <c r="A388" s="8" t="s">
        <v>151</v>
      </c>
      <c r="B388" s="97" t="s">
        <v>38</v>
      </c>
      <c r="C388" s="59">
        <v>200</v>
      </c>
      <c r="D388" s="135">
        <f>5.1/200*C388</f>
        <v>5.0999999999999996</v>
      </c>
      <c r="E388" s="135">
        <f>5.8/200*C388</f>
        <v>5.8</v>
      </c>
      <c r="F388" s="135">
        <f>10.8/200*C388</f>
        <v>10.8</v>
      </c>
      <c r="G388" s="136">
        <f>115.6/200*C388</f>
        <v>115.6</v>
      </c>
      <c r="H388" s="130">
        <f>0.03/200*C388</f>
        <v>0.03</v>
      </c>
      <c r="I388" s="130">
        <f>0.03/200*C388</f>
        <v>0.03</v>
      </c>
      <c r="J388" s="130">
        <f>103.2/200*C388</f>
        <v>103.2</v>
      </c>
      <c r="K388" s="130">
        <v>0</v>
      </c>
      <c r="L388" s="130">
        <f>6.42/200*C388</f>
        <v>6.419999999999999</v>
      </c>
      <c r="M388" s="130">
        <f>195.4/200*C388</f>
        <v>195.4</v>
      </c>
      <c r="N388" s="130">
        <f>25.6/200*C388</f>
        <v>25.6</v>
      </c>
      <c r="O388" s="130">
        <f>15.4/200*C388</f>
        <v>15.4</v>
      </c>
      <c r="P388" s="130">
        <f>40.4/200*C388</f>
        <v>40.4</v>
      </c>
      <c r="Q388" s="130">
        <f>0.49/200*C388</f>
        <v>0.49</v>
      </c>
      <c r="R388" s="130">
        <f>15.4/200*C388</f>
        <v>15.4</v>
      </c>
      <c r="S388" s="173">
        <f>1.25/200*C388</f>
        <v>1.25</v>
      </c>
      <c r="T388" s="130">
        <f>20.6/200*C388</f>
        <v>20.6</v>
      </c>
    </row>
    <row r="389" spans="1:20" ht="15" customHeight="1" x14ac:dyDescent="0.25">
      <c r="A389" s="8" t="s">
        <v>192</v>
      </c>
      <c r="B389" s="5" t="s">
        <v>85</v>
      </c>
      <c r="C389" s="90">
        <v>150</v>
      </c>
      <c r="D389" s="61">
        <f>5.9/200*C389</f>
        <v>4.4250000000000007</v>
      </c>
      <c r="E389" s="61">
        <f>7/200*C389</f>
        <v>5.2500000000000009</v>
      </c>
      <c r="F389" s="61">
        <f>40.6/200*C389</f>
        <v>30.450000000000003</v>
      </c>
      <c r="G389" s="25">
        <f>249.5/200*C389</f>
        <v>187.125</v>
      </c>
      <c r="H389" s="61">
        <f>0.06/200*C389</f>
        <v>4.4999999999999998E-2</v>
      </c>
      <c r="I389" s="61">
        <f>0.04/200*C389</f>
        <v>3.0000000000000002E-2</v>
      </c>
      <c r="J389" s="61">
        <f>27/200*C389</f>
        <v>20.25</v>
      </c>
      <c r="K389" s="25">
        <f>0.13/200*C389</f>
        <v>9.7499999999999989E-2</v>
      </c>
      <c r="L389" s="61">
        <v>0</v>
      </c>
      <c r="M389" s="61">
        <f>97.6/200*C389</f>
        <v>73.2</v>
      </c>
      <c r="N389" s="61">
        <f>26/200*C389</f>
        <v>19.5</v>
      </c>
      <c r="O389" s="61">
        <f>23/200*C389</f>
        <v>17.25</v>
      </c>
      <c r="P389" s="61">
        <f>190/200*C389</f>
        <v>142.5</v>
      </c>
      <c r="Q389" s="61">
        <f>1.07/200*C389</f>
        <v>0.8025000000000001</v>
      </c>
      <c r="R389" s="61">
        <f>20/200*C389</f>
        <v>15</v>
      </c>
      <c r="S389" s="133">
        <f>22.2/200*C389</f>
        <v>16.649999999999999</v>
      </c>
      <c r="T389" s="25">
        <f>0.3/200*C389</f>
        <v>0.22500000000000001</v>
      </c>
    </row>
    <row r="390" spans="1:20" ht="15" customHeight="1" x14ac:dyDescent="0.25">
      <c r="A390" s="270" t="s">
        <v>185</v>
      </c>
      <c r="B390" s="5" t="s">
        <v>45</v>
      </c>
      <c r="C390" s="26">
        <v>80</v>
      </c>
      <c r="D390" s="21">
        <v>9.5</v>
      </c>
      <c r="E390" s="21">
        <f>13.1/80*C390</f>
        <v>13.100000000000001</v>
      </c>
      <c r="F390" s="21">
        <f>3.2/80*C390</f>
        <v>3.2</v>
      </c>
      <c r="G390" s="21">
        <f>185.6/80*C390</f>
        <v>185.6</v>
      </c>
      <c r="H390" s="21">
        <f>0.03/80*C390</f>
        <v>0.03</v>
      </c>
      <c r="I390" s="21">
        <f>0.09/80*C390</f>
        <v>0.09</v>
      </c>
      <c r="J390" s="21">
        <f>20.4/80*C390</f>
        <v>20.399999999999999</v>
      </c>
      <c r="K390" s="21">
        <f>0.06/80*C390</f>
        <v>0.06</v>
      </c>
      <c r="L390" s="7">
        <f>1.13/80*C390</f>
        <v>1.1299999999999999</v>
      </c>
      <c r="M390" s="7">
        <f>258/80*C390</f>
        <v>258</v>
      </c>
      <c r="N390" s="7">
        <f>12/80*C390</f>
        <v>12</v>
      </c>
      <c r="O390" s="7">
        <f>19/80*C390</f>
        <v>19</v>
      </c>
      <c r="P390" s="7">
        <f>133/80*C390</f>
        <v>133</v>
      </c>
      <c r="Q390" s="7">
        <f>1.98/80*C390</f>
        <v>1.98</v>
      </c>
      <c r="R390" s="7">
        <f>14/80*C390</f>
        <v>14</v>
      </c>
      <c r="S390" s="7">
        <f>0.25/80*C390</f>
        <v>0.25</v>
      </c>
      <c r="T390" s="7">
        <f>50/80*C390</f>
        <v>50</v>
      </c>
    </row>
    <row r="391" spans="1:20" ht="15" customHeight="1" x14ac:dyDescent="0.25">
      <c r="A391" s="4">
        <v>267</v>
      </c>
      <c r="B391" s="36" t="s">
        <v>83</v>
      </c>
      <c r="C391" s="90">
        <v>200</v>
      </c>
      <c r="D391" s="61">
        <f>0.6/200*C391</f>
        <v>0.6</v>
      </c>
      <c r="E391" s="61">
        <f>0.28/200*C391</f>
        <v>0.28000000000000003</v>
      </c>
      <c r="F391" s="61">
        <f>15.2/200*C391</f>
        <v>15.2</v>
      </c>
      <c r="G391" s="133">
        <f>65.3/200*C391</f>
        <v>65.3</v>
      </c>
      <c r="H391" s="126">
        <f>0.01/200*C391</f>
        <v>0.01</v>
      </c>
      <c r="I391" s="126">
        <f>0.05/200*C391</f>
        <v>0.05</v>
      </c>
      <c r="J391" s="126">
        <f>98/200*C391</f>
        <v>98</v>
      </c>
      <c r="K391" s="126">
        <v>0</v>
      </c>
      <c r="L391" s="126">
        <f>80/200*C391</f>
        <v>80</v>
      </c>
      <c r="M391" s="126">
        <f>8.47/200*C391</f>
        <v>8.4700000000000006</v>
      </c>
      <c r="N391" s="126">
        <f>11/200*C391</f>
        <v>11</v>
      </c>
      <c r="O391" s="126">
        <f>3/200*C391</f>
        <v>3</v>
      </c>
      <c r="P391" s="126">
        <f>3/200*C391</f>
        <v>3</v>
      </c>
      <c r="Q391" s="126">
        <f>0.54/200*C391</f>
        <v>0.54</v>
      </c>
      <c r="R391" s="126">
        <v>0</v>
      </c>
      <c r="S391" s="233">
        <v>0</v>
      </c>
      <c r="T391" s="126">
        <v>0</v>
      </c>
    </row>
    <row r="392" spans="1:20" ht="15" customHeight="1" x14ac:dyDescent="0.25">
      <c r="A392" s="95" t="s">
        <v>124</v>
      </c>
      <c r="B392" s="35" t="s">
        <v>23</v>
      </c>
      <c r="C392" s="6">
        <v>60</v>
      </c>
      <c r="D392" s="10">
        <f>1.5/25*C392</f>
        <v>3.5999999999999996</v>
      </c>
      <c r="E392" s="10">
        <f>0.5/25*C392</f>
        <v>1.2</v>
      </c>
      <c r="F392" s="10">
        <f>10.2/25*C392</f>
        <v>24.479999999999997</v>
      </c>
      <c r="G392" s="10">
        <f>52/25*C392</f>
        <v>124.80000000000001</v>
      </c>
      <c r="H392" s="10">
        <f>0.1/25*C392</f>
        <v>0.24</v>
      </c>
      <c r="I392" s="10">
        <f>0.08/25*C392</f>
        <v>0.192</v>
      </c>
      <c r="J392" s="10">
        <v>0</v>
      </c>
      <c r="K392" s="10">
        <v>0</v>
      </c>
      <c r="L392" s="10">
        <f>0.1/25*C392</f>
        <v>0.24</v>
      </c>
      <c r="M392" s="10">
        <f>41.5/25*C392</f>
        <v>99.6</v>
      </c>
      <c r="N392" s="10">
        <f>19.75/25*C392</f>
        <v>47.400000000000006</v>
      </c>
      <c r="O392" s="10">
        <f>10/25*C392</f>
        <v>24</v>
      </c>
      <c r="P392" s="10">
        <f>31.25/25*C392</f>
        <v>75</v>
      </c>
      <c r="Q392" s="10">
        <f>10/25*C392</f>
        <v>24</v>
      </c>
      <c r="R392" s="10">
        <f>0.7/25*C392</f>
        <v>1.6799999999999997</v>
      </c>
      <c r="S392" s="172">
        <f>7.73/25*C392</f>
        <v>18.552000000000003</v>
      </c>
      <c r="T392" s="10">
        <f>12.75/25*C392</f>
        <v>30.6</v>
      </c>
    </row>
    <row r="393" spans="1:20" ht="15" customHeight="1" x14ac:dyDescent="0.25">
      <c r="A393" s="95" t="s">
        <v>124</v>
      </c>
      <c r="B393" s="32" t="s">
        <v>24</v>
      </c>
      <c r="C393" s="16">
        <v>30</v>
      </c>
      <c r="D393" s="25">
        <f>3.4/45*C393</f>
        <v>2.2666666666666666</v>
      </c>
      <c r="E393" s="25">
        <f>0.4/45*C393</f>
        <v>0.26666666666666666</v>
      </c>
      <c r="F393" s="25">
        <f>22.1/45*C393</f>
        <v>14.733333333333334</v>
      </c>
      <c r="G393" s="25">
        <f>105.8/45*C393</f>
        <v>70.533333333333331</v>
      </c>
      <c r="H393" s="25">
        <f>0.05/45*C393</f>
        <v>3.3333333333333333E-2</v>
      </c>
      <c r="I393" s="25">
        <f>0.01/45*C393</f>
        <v>6.6666666666666671E-3</v>
      </c>
      <c r="J393" s="25">
        <v>0</v>
      </c>
      <c r="K393" s="25">
        <v>0</v>
      </c>
      <c r="L393" s="25">
        <v>0</v>
      </c>
      <c r="M393" s="25">
        <f>46.5/45*C393</f>
        <v>31.000000000000004</v>
      </c>
      <c r="N393" s="27">
        <f>10/45*C393</f>
        <v>6.6666666666666661</v>
      </c>
      <c r="O393" s="27">
        <f>7/45*C393</f>
        <v>4.666666666666667</v>
      </c>
      <c r="P393" s="27">
        <f>32.5/45*C393</f>
        <v>21.666666666666668</v>
      </c>
      <c r="Q393" s="27">
        <f>1.6/45*C393</f>
        <v>1.0666666666666667</v>
      </c>
      <c r="R393" s="27">
        <f>0.55/45*C393</f>
        <v>0.3666666666666667</v>
      </c>
      <c r="S393" s="166">
        <f>3/45*C393</f>
        <v>2</v>
      </c>
      <c r="T393" s="27">
        <f>7.5/45*C393</f>
        <v>5</v>
      </c>
    </row>
    <row r="394" spans="1:20" ht="15" customHeight="1" x14ac:dyDescent="0.25">
      <c r="A394" s="95"/>
      <c r="B394" s="211"/>
      <c r="C394" s="212"/>
      <c r="D394" s="103"/>
      <c r="E394" s="103"/>
      <c r="F394" s="103"/>
      <c r="G394" s="103"/>
      <c r="H394" s="155"/>
      <c r="I394" s="106"/>
      <c r="J394" s="106"/>
      <c r="K394" s="11"/>
      <c r="L394" s="11"/>
      <c r="M394" s="11"/>
      <c r="N394" s="12"/>
      <c r="O394" s="12"/>
      <c r="P394" s="12"/>
      <c r="Q394" s="12"/>
      <c r="R394" s="12"/>
      <c r="S394" s="157"/>
      <c r="T394" s="12"/>
    </row>
    <row r="395" spans="1:20" ht="15" customHeight="1" x14ac:dyDescent="0.25">
      <c r="A395" s="4"/>
      <c r="B395" s="71" t="s">
        <v>29</v>
      </c>
      <c r="C395" s="98">
        <f t="shared" ref="C395:T395" si="53">SUM(C387:C393)</f>
        <v>770</v>
      </c>
      <c r="D395" s="75">
        <f t="shared" si="53"/>
        <v>26.075000000000003</v>
      </c>
      <c r="E395" s="71">
        <f t="shared" si="53"/>
        <v>25.98</v>
      </c>
      <c r="F395" s="71">
        <f t="shared" si="53"/>
        <v>100.78000000000002</v>
      </c>
      <c r="G395" s="75">
        <f t="shared" si="53"/>
        <v>759.625</v>
      </c>
      <c r="H395" s="75">
        <f t="shared" si="53"/>
        <v>0.42166666666666663</v>
      </c>
      <c r="I395" s="75">
        <f t="shared" si="53"/>
        <v>0.41533333333333333</v>
      </c>
      <c r="J395" s="71">
        <f t="shared" si="53"/>
        <v>308.35000000000002</v>
      </c>
      <c r="K395" s="75">
        <f t="shared" si="53"/>
        <v>0.15749999999999997</v>
      </c>
      <c r="L395" s="71">
        <f t="shared" si="53"/>
        <v>100.28999999999999</v>
      </c>
      <c r="M395" s="71">
        <f t="shared" si="53"/>
        <v>810.67</v>
      </c>
      <c r="N395" s="71">
        <f t="shared" si="53"/>
        <v>129.16666666666666</v>
      </c>
      <c r="O395" s="71">
        <f t="shared" si="53"/>
        <v>93.316666666666677</v>
      </c>
      <c r="P395" s="71">
        <f t="shared" si="53"/>
        <v>428.90000000000003</v>
      </c>
      <c r="Q395" s="71">
        <f t="shared" si="53"/>
        <v>29.329166666666666</v>
      </c>
      <c r="R395" s="71">
        <f t="shared" si="53"/>
        <v>47.446666666666665</v>
      </c>
      <c r="S395" s="71">
        <f t="shared" si="53"/>
        <v>38.902000000000001</v>
      </c>
      <c r="T395" s="71">
        <f t="shared" si="53"/>
        <v>116.42500000000001</v>
      </c>
    </row>
    <row r="396" spans="1:20" ht="15" customHeight="1" x14ac:dyDescent="0.25">
      <c r="A396" s="298" t="s">
        <v>30</v>
      </c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315"/>
    </row>
    <row r="397" spans="1:20" ht="15" customHeight="1" x14ac:dyDescent="0.25">
      <c r="A397" s="8">
        <v>283</v>
      </c>
      <c r="B397" s="32" t="s">
        <v>96</v>
      </c>
      <c r="C397" s="90">
        <v>100</v>
      </c>
      <c r="D397" s="25">
        <v>10.7</v>
      </c>
      <c r="E397" s="25">
        <f>6.9/60*C397</f>
        <v>11.5</v>
      </c>
      <c r="F397" s="25">
        <f>22.56/60*C397</f>
        <v>37.6</v>
      </c>
      <c r="G397" s="86">
        <f>157.5/60*C397</f>
        <v>262.5</v>
      </c>
      <c r="H397" s="25">
        <f>0.43/60*C397</f>
        <v>0.71666666666666667</v>
      </c>
      <c r="I397" s="25">
        <f>0.52/60*C397</f>
        <v>0.86666666666666659</v>
      </c>
      <c r="J397" s="25">
        <f>1.74/60*C397</f>
        <v>2.9000000000000004</v>
      </c>
      <c r="K397" s="25">
        <v>0</v>
      </c>
      <c r="L397" s="25">
        <f>0.14/60*C397</f>
        <v>0.23333333333333336</v>
      </c>
      <c r="M397" s="25">
        <f>58.78/60*C397</f>
        <v>97.966666666666669</v>
      </c>
      <c r="N397" s="25">
        <v>0</v>
      </c>
      <c r="O397" s="25">
        <f>5.28/60*C397</f>
        <v>8.8000000000000007</v>
      </c>
      <c r="P397" s="25">
        <f>38.04/60*C397</f>
        <v>63.4</v>
      </c>
      <c r="Q397" s="25">
        <v>0</v>
      </c>
      <c r="R397" s="25">
        <f>0.57/60*C397</f>
        <v>0.95</v>
      </c>
      <c r="S397" s="86">
        <f>1.16/60*C397</f>
        <v>1.9333333333333331</v>
      </c>
      <c r="T397" s="25">
        <f>5.54/60*C397</f>
        <v>9.2333333333333343</v>
      </c>
    </row>
    <row r="398" spans="1:20" ht="15" customHeight="1" x14ac:dyDescent="0.25">
      <c r="A398" s="8" t="s">
        <v>140</v>
      </c>
      <c r="B398" s="32" t="s">
        <v>20</v>
      </c>
      <c r="C398" s="9">
        <v>200</v>
      </c>
      <c r="D398" s="10">
        <f>0.2/200*C398</f>
        <v>0.2</v>
      </c>
      <c r="E398" s="10">
        <v>0</v>
      </c>
      <c r="F398" s="10">
        <f>6.5/200*C398</f>
        <v>6.5</v>
      </c>
      <c r="G398" s="10">
        <f>26.8/200*C398</f>
        <v>26.8</v>
      </c>
      <c r="H398" s="10">
        <v>0</v>
      </c>
      <c r="I398" s="10">
        <f>0.01/200*C398</f>
        <v>0.01</v>
      </c>
      <c r="J398" s="10">
        <f>0.3/200*C398</f>
        <v>0.3</v>
      </c>
      <c r="K398" s="10">
        <v>0</v>
      </c>
      <c r="L398" s="10">
        <f>0.04/200*C398</f>
        <v>0.04</v>
      </c>
      <c r="M398" s="11">
        <f>20.8/200*C398</f>
        <v>20.8</v>
      </c>
      <c r="N398" s="12">
        <f>4.5/200*C398</f>
        <v>4.5</v>
      </c>
      <c r="O398" s="12">
        <f>3.8/200*C398</f>
        <v>3.8</v>
      </c>
      <c r="P398" s="12">
        <f>7.2/200*C398</f>
        <v>7.2000000000000011</v>
      </c>
      <c r="Q398" s="12">
        <f>0.73/200*C398</f>
        <v>0.73</v>
      </c>
      <c r="R398" s="12">
        <v>0</v>
      </c>
      <c r="S398" s="157">
        <v>0</v>
      </c>
      <c r="T398" s="12">
        <v>0</v>
      </c>
    </row>
    <row r="399" spans="1:20" ht="15" customHeight="1" x14ac:dyDescent="0.25">
      <c r="A399" s="4"/>
      <c r="B399" s="4"/>
      <c r="C399" s="29"/>
      <c r="D399" s="30"/>
      <c r="E399" s="30"/>
      <c r="F399" s="30"/>
      <c r="G399" s="30"/>
      <c r="H399" s="30"/>
      <c r="I399" s="30"/>
      <c r="J399" s="31"/>
      <c r="K399" s="30"/>
      <c r="L399" s="30"/>
      <c r="M399" s="30"/>
      <c r="N399" s="30"/>
      <c r="O399" s="30"/>
      <c r="P399" s="30"/>
      <c r="Q399" s="30"/>
      <c r="R399" s="30"/>
      <c r="S399" s="161"/>
      <c r="T399" s="30"/>
    </row>
    <row r="400" spans="1:20" ht="15" customHeight="1" x14ac:dyDescent="0.25">
      <c r="A400" s="4"/>
      <c r="B400" s="28" t="s">
        <v>32</v>
      </c>
      <c r="C400" s="29">
        <f>SUM(C397:C398)</f>
        <v>300</v>
      </c>
      <c r="D400" s="30">
        <f>SUM(D397:D398)</f>
        <v>10.899999999999999</v>
      </c>
      <c r="E400" s="30">
        <f t="shared" ref="E400:Q400" si="54">SUM(E397:E398)</f>
        <v>11.5</v>
      </c>
      <c r="F400" s="30">
        <f t="shared" si="54"/>
        <v>44.1</v>
      </c>
      <c r="G400" s="30">
        <f t="shared" si="54"/>
        <v>289.3</v>
      </c>
      <c r="H400" s="30">
        <f t="shared" si="54"/>
        <v>0.71666666666666667</v>
      </c>
      <c r="I400" s="30">
        <f t="shared" si="54"/>
        <v>0.87666666666666659</v>
      </c>
      <c r="J400" s="30">
        <f t="shared" si="54"/>
        <v>3.2</v>
      </c>
      <c r="K400" s="30">
        <f t="shared" si="54"/>
        <v>0</v>
      </c>
      <c r="L400" s="30">
        <f t="shared" si="54"/>
        <v>0.27333333333333337</v>
      </c>
      <c r="M400" s="30">
        <f t="shared" si="54"/>
        <v>118.76666666666667</v>
      </c>
      <c r="N400" s="30">
        <f t="shared" si="54"/>
        <v>4.5</v>
      </c>
      <c r="O400" s="30">
        <f t="shared" si="54"/>
        <v>12.600000000000001</v>
      </c>
      <c r="P400" s="30">
        <f t="shared" si="54"/>
        <v>70.599999999999994</v>
      </c>
      <c r="Q400" s="30">
        <f t="shared" si="54"/>
        <v>0.73</v>
      </c>
      <c r="R400" s="30">
        <f>SUM(R397:R398)</f>
        <v>0.95</v>
      </c>
      <c r="S400" s="161">
        <f>SUM(S397:S398)</f>
        <v>1.9333333333333331</v>
      </c>
      <c r="T400" s="30">
        <f>SUM(T397:T398)</f>
        <v>9.2333333333333343</v>
      </c>
    </row>
    <row r="401" spans="1:20" ht="15" customHeight="1" x14ac:dyDescent="0.25">
      <c r="A401" s="4"/>
      <c r="B401" s="28" t="s">
        <v>33</v>
      </c>
      <c r="C401" s="29">
        <f t="shared" ref="C401:Q401" si="55">C400+C395+C385</f>
        <v>1605</v>
      </c>
      <c r="D401" s="29">
        <f t="shared" si="55"/>
        <v>54.475000000000001</v>
      </c>
      <c r="E401" s="29">
        <f t="shared" si="55"/>
        <v>57.180000000000007</v>
      </c>
      <c r="F401" s="29">
        <f t="shared" si="55"/>
        <v>217.03000000000003</v>
      </c>
      <c r="G401" s="30">
        <f t="shared" si="55"/>
        <v>1530.0250000000001</v>
      </c>
      <c r="H401" s="30">
        <f t="shared" si="55"/>
        <v>1.7133333333333334</v>
      </c>
      <c r="I401" s="30">
        <f t="shared" si="55"/>
        <v>1.7269999999999999</v>
      </c>
      <c r="J401" s="29">
        <f t="shared" si="55"/>
        <v>367.85</v>
      </c>
      <c r="K401" s="29">
        <f t="shared" si="55"/>
        <v>125.3075</v>
      </c>
      <c r="L401" s="29">
        <f t="shared" si="55"/>
        <v>101.85333333333332</v>
      </c>
      <c r="M401" s="29">
        <f t="shared" si="55"/>
        <v>1554.4366666666665</v>
      </c>
      <c r="N401" s="29">
        <f t="shared" si="55"/>
        <v>686.41666666666663</v>
      </c>
      <c r="O401" s="29">
        <f t="shared" si="55"/>
        <v>192.2166666666667</v>
      </c>
      <c r="P401" s="29">
        <f t="shared" si="55"/>
        <v>958.25</v>
      </c>
      <c r="Q401" s="29">
        <f t="shared" si="55"/>
        <v>42.919166666666669</v>
      </c>
      <c r="R401" s="29">
        <f>R400+R395+R385</f>
        <v>75.046666666666667</v>
      </c>
      <c r="S401" s="162">
        <f>S400+S395+S385</f>
        <v>56.035333333333334</v>
      </c>
      <c r="T401" s="29">
        <f>T400+T395+T385</f>
        <v>183.94833333333335</v>
      </c>
    </row>
    <row r="402" spans="1:20" ht="15" customHeight="1" x14ac:dyDescent="0.25">
      <c r="A402" s="293" t="s">
        <v>16</v>
      </c>
      <c r="B402" s="294"/>
      <c r="C402" s="294"/>
      <c r="D402" s="294"/>
      <c r="E402" s="294"/>
      <c r="F402" s="294"/>
      <c r="G402" s="294"/>
      <c r="H402" s="294"/>
      <c r="I402" s="294"/>
      <c r="J402" s="294"/>
      <c r="K402" s="294"/>
      <c r="L402" s="294"/>
      <c r="M402" s="294"/>
      <c r="N402" s="294"/>
      <c r="O402" s="294"/>
      <c r="P402" s="294"/>
      <c r="Q402" s="294"/>
      <c r="R402" s="294"/>
      <c r="S402" s="294"/>
      <c r="T402" s="307"/>
    </row>
    <row r="403" spans="1:20" ht="15" customHeight="1" x14ac:dyDescent="0.25">
      <c r="A403" s="293" t="s">
        <v>202</v>
      </c>
      <c r="B403" s="294"/>
      <c r="C403" s="294"/>
      <c r="D403" s="294"/>
      <c r="E403" s="294"/>
      <c r="F403" s="294"/>
      <c r="G403" s="294"/>
      <c r="H403" s="294"/>
      <c r="I403" s="294"/>
      <c r="J403" s="294"/>
      <c r="K403" s="294"/>
      <c r="L403" s="294"/>
      <c r="M403" s="294"/>
      <c r="N403" s="294"/>
      <c r="O403" s="294"/>
      <c r="P403" s="294"/>
      <c r="Q403" s="294"/>
      <c r="R403" s="294"/>
      <c r="S403" s="294"/>
      <c r="T403" s="307"/>
    </row>
    <row r="404" spans="1:20" ht="15" customHeight="1" x14ac:dyDescent="0.25">
      <c r="A404" s="285" t="s">
        <v>18</v>
      </c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308"/>
    </row>
    <row r="405" spans="1:20" ht="15" customHeight="1" x14ac:dyDescent="0.25">
      <c r="A405" s="287" t="s">
        <v>19</v>
      </c>
      <c r="B405" s="296"/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309"/>
    </row>
    <row r="406" spans="1:20" ht="15" customHeight="1" x14ac:dyDescent="0.25">
      <c r="A406" s="8" t="s">
        <v>164</v>
      </c>
      <c r="B406" s="32" t="s">
        <v>186</v>
      </c>
      <c r="C406" s="24">
        <v>250</v>
      </c>
      <c r="D406" s="10">
        <f>7.3/200*C406</f>
        <v>9.125</v>
      </c>
      <c r="E406" s="10">
        <v>15.6</v>
      </c>
      <c r="F406" s="10">
        <v>32.6</v>
      </c>
      <c r="G406" s="10">
        <f>249.1/200*C406</f>
        <v>311.375</v>
      </c>
      <c r="H406" s="150">
        <f>0.12/200*C406</f>
        <v>0.15</v>
      </c>
      <c r="I406" s="150">
        <f>0.17/200*C406</f>
        <v>0.21250000000000002</v>
      </c>
      <c r="J406" s="150">
        <f>41.5/200*C406</f>
        <v>51.875</v>
      </c>
      <c r="K406" s="150">
        <f>0.13/200*C406</f>
        <v>0.16250000000000001</v>
      </c>
      <c r="L406" s="150">
        <f>0.57/200*C406</f>
        <v>0.71249999999999991</v>
      </c>
      <c r="M406" s="150">
        <f>211/200*C406</f>
        <v>263.75</v>
      </c>
      <c r="N406" s="150">
        <f>157/200*C406</f>
        <v>196.25</v>
      </c>
      <c r="O406" s="150">
        <f>33/200*C406</f>
        <v>41.25</v>
      </c>
      <c r="P406" s="150">
        <f>222/200*C406</f>
        <v>277.5</v>
      </c>
      <c r="Q406" s="150">
        <f>0.86/200*C406</f>
        <v>1.075</v>
      </c>
      <c r="R406" s="150">
        <f>0.5/200*C406</f>
        <v>0.625</v>
      </c>
      <c r="S406" s="193">
        <f>16.8/200*C406</f>
        <v>21</v>
      </c>
      <c r="T406" s="150">
        <f>62/200*C406</f>
        <v>77.5</v>
      </c>
    </row>
    <row r="407" spans="1:20" ht="15" customHeight="1" x14ac:dyDescent="0.25">
      <c r="A407" s="8" t="s">
        <v>140</v>
      </c>
      <c r="B407" s="32" t="s">
        <v>20</v>
      </c>
      <c r="C407" s="9">
        <v>200</v>
      </c>
      <c r="D407" s="10">
        <f>0.2/200*C407</f>
        <v>0.2</v>
      </c>
      <c r="E407" s="10">
        <v>0</v>
      </c>
      <c r="F407" s="10">
        <f>6.5/200*C407</f>
        <v>6.5</v>
      </c>
      <c r="G407" s="10">
        <f>26.8/200*C407</f>
        <v>26.8</v>
      </c>
      <c r="H407" s="10">
        <v>0</v>
      </c>
      <c r="I407" s="10">
        <f>0.01/200*C407</f>
        <v>0.01</v>
      </c>
      <c r="J407" s="10">
        <f>0.3/200*C407</f>
        <v>0.3</v>
      </c>
      <c r="K407" s="10">
        <v>0</v>
      </c>
      <c r="L407" s="10">
        <f>0.04/200*C407</f>
        <v>0.04</v>
      </c>
      <c r="M407" s="11">
        <f>20.8/200*C407</f>
        <v>20.8</v>
      </c>
      <c r="N407" s="12">
        <f>4.5/200*C407</f>
        <v>4.5</v>
      </c>
      <c r="O407" s="12">
        <f>3.8/200*C407</f>
        <v>3.8</v>
      </c>
      <c r="P407" s="12">
        <f>7.2/200*C407</f>
        <v>7.2000000000000011</v>
      </c>
      <c r="Q407" s="12">
        <f>0.73/200*C407</f>
        <v>0.73</v>
      </c>
      <c r="R407" s="12">
        <v>0</v>
      </c>
      <c r="S407" s="157">
        <v>0</v>
      </c>
      <c r="T407" s="12">
        <v>0</v>
      </c>
    </row>
    <row r="408" spans="1:20" ht="15" customHeight="1" x14ac:dyDescent="0.25">
      <c r="A408" s="4" t="s">
        <v>191</v>
      </c>
      <c r="B408" s="35" t="s">
        <v>21</v>
      </c>
      <c r="C408" s="6">
        <v>10</v>
      </c>
      <c r="D408" s="61">
        <v>1.3</v>
      </c>
      <c r="E408" s="61">
        <f>0.1/10*C408</f>
        <v>0.1</v>
      </c>
      <c r="F408" s="61">
        <f>7.2/10*C408</f>
        <v>7.1999999999999993</v>
      </c>
      <c r="G408" s="61">
        <f>1/10*C408</f>
        <v>1</v>
      </c>
      <c r="H408" s="61">
        <f>66.1/10*C408</f>
        <v>66.099999999999994</v>
      </c>
      <c r="I408" s="140">
        <f>0.01/10*C408</f>
        <v>0.01</v>
      </c>
      <c r="J408" s="61">
        <f>45/10*C408</f>
        <v>45</v>
      </c>
      <c r="K408" s="61">
        <f>0.13/10*C408</f>
        <v>0.13</v>
      </c>
      <c r="L408" s="61">
        <v>0</v>
      </c>
      <c r="M408" s="61">
        <f>3/10*C408</f>
        <v>3</v>
      </c>
      <c r="N408" s="61">
        <f>2.4/10*C408</f>
        <v>2.4</v>
      </c>
      <c r="O408" s="61">
        <v>0</v>
      </c>
      <c r="P408" s="61">
        <f>3/10*C408</f>
        <v>3</v>
      </c>
      <c r="Q408" s="61">
        <f>0.02/10*C408</f>
        <v>0.02</v>
      </c>
      <c r="R408" s="61">
        <v>0</v>
      </c>
      <c r="S408" s="133">
        <f>0.1/10*C408</f>
        <v>0.1</v>
      </c>
      <c r="T408" s="61">
        <f>0.3/10*C408</f>
        <v>0.3</v>
      </c>
    </row>
    <row r="409" spans="1:20" ht="15" customHeight="1" x14ac:dyDescent="0.25">
      <c r="A409" s="14" t="s">
        <v>124</v>
      </c>
      <c r="B409" s="35" t="s">
        <v>23</v>
      </c>
      <c r="C409" s="6">
        <v>25</v>
      </c>
      <c r="D409" s="10">
        <f>1.5/25*C409</f>
        <v>1.5</v>
      </c>
      <c r="E409" s="10">
        <f>0.5/25*C409</f>
        <v>0.5</v>
      </c>
      <c r="F409" s="10">
        <f>10.2/25*C409</f>
        <v>10.199999999999999</v>
      </c>
      <c r="G409" s="10">
        <f>52/25*C409</f>
        <v>52</v>
      </c>
      <c r="H409" s="10">
        <f>0.1/25*C409</f>
        <v>0.1</v>
      </c>
      <c r="I409" s="10">
        <f>0.08/25*C409</f>
        <v>0.08</v>
      </c>
      <c r="J409" s="10">
        <v>0</v>
      </c>
      <c r="K409" s="10">
        <v>0</v>
      </c>
      <c r="L409" s="10">
        <f>0.1/25*C409</f>
        <v>0.1</v>
      </c>
      <c r="M409" s="10">
        <f>41.5/25*C409</f>
        <v>41.5</v>
      </c>
      <c r="N409" s="10">
        <f>19.75/25*C409</f>
        <v>19.75</v>
      </c>
      <c r="O409" s="10">
        <f>10/25*C409</f>
        <v>10</v>
      </c>
      <c r="P409" s="10">
        <f>31.25/25*C409</f>
        <v>31.25</v>
      </c>
      <c r="Q409" s="10">
        <f>10/25*C409</f>
        <v>10</v>
      </c>
      <c r="R409" s="10">
        <f>0.7/25*C409</f>
        <v>0.7</v>
      </c>
      <c r="S409" s="172">
        <f>7.73/25*C409</f>
        <v>7.73</v>
      </c>
      <c r="T409" s="10">
        <f>12.75/25*C409</f>
        <v>12.75</v>
      </c>
    </row>
    <row r="410" spans="1:20" ht="15" customHeight="1" x14ac:dyDescent="0.25">
      <c r="A410" s="15" t="s">
        <v>124</v>
      </c>
      <c r="B410" s="32" t="s">
        <v>24</v>
      </c>
      <c r="C410" s="16">
        <v>45</v>
      </c>
      <c r="D410" s="25">
        <f>3.4/45*C410</f>
        <v>3.4</v>
      </c>
      <c r="E410" s="25">
        <f>0.4/45*C410</f>
        <v>0.4</v>
      </c>
      <c r="F410" s="25">
        <f>22.1/45*C410</f>
        <v>22.1</v>
      </c>
      <c r="G410" s="25">
        <f>105.8/45*C410</f>
        <v>105.8</v>
      </c>
      <c r="H410" s="25">
        <f>0.05/45*C410</f>
        <v>0.05</v>
      </c>
      <c r="I410" s="25">
        <f>0.01/45*C410</f>
        <v>0.01</v>
      </c>
      <c r="J410" s="25">
        <v>0</v>
      </c>
      <c r="K410" s="25">
        <v>0</v>
      </c>
      <c r="L410" s="25">
        <v>0</v>
      </c>
      <c r="M410" s="25">
        <f>46.5/45*C410</f>
        <v>46.500000000000007</v>
      </c>
      <c r="N410" s="27">
        <f>10/45*C410</f>
        <v>10</v>
      </c>
      <c r="O410" s="27">
        <f>7/45*C410</f>
        <v>7</v>
      </c>
      <c r="P410" s="27">
        <f>32.5/45*C410</f>
        <v>32.5</v>
      </c>
      <c r="Q410" s="27">
        <f>1.6/45*C410</f>
        <v>1.6</v>
      </c>
      <c r="R410" s="27">
        <f>0.55/45*C410</f>
        <v>0.55000000000000004</v>
      </c>
      <c r="S410" s="166">
        <f>3/45*C410</f>
        <v>3</v>
      </c>
      <c r="T410" s="27">
        <f>7.5/45*C410</f>
        <v>7.5</v>
      </c>
    </row>
    <row r="411" spans="1:20" ht="15" customHeight="1" x14ac:dyDescent="0.25">
      <c r="A411" s="15"/>
      <c r="B411" s="4"/>
      <c r="C411" s="16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2"/>
      <c r="O411" s="12"/>
      <c r="P411" s="12"/>
      <c r="Q411" s="12"/>
      <c r="R411" s="12"/>
      <c r="S411" s="157"/>
      <c r="T411" s="12"/>
    </row>
    <row r="412" spans="1:20" ht="15" customHeight="1" x14ac:dyDescent="0.25">
      <c r="A412" s="17"/>
      <c r="B412" s="6" t="s">
        <v>25</v>
      </c>
      <c r="C412" s="17">
        <f t="shared" ref="C412:T412" si="56">SUM(C406:C410)</f>
        <v>530</v>
      </c>
      <c r="D412" s="82">
        <f t="shared" si="56"/>
        <v>15.525</v>
      </c>
      <c r="E412" s="82">
        <f t="shared" si="56"/>
        <v>16.599999999999998</v>
      </c>
      <c r="F412" s="82">
        <f t="shared" si="56"/>
        <v>78.599999999999994</v>
      </c>
      <c r="G412" s="82">
        <f t="shared" si="56"/>
        <v>496.97500000000002</v>
      </c>
      <c r="H412" s="82">
        <f t="shared" si="56"/>
        <v>66.399999999999991</v>
      </c>
      <c r="I412" s="82">
        <f t="shared" si="56"/>
        <v>0.32250000000000006</v>
      </c>
      <c r="J412" s="82">
        <f t="shared" si="56"/>
        <v>97.174999999999997</v>
      </c>
      <c r="K412" s="82">
        <f t="shared" si="56"/>
        <v>0.29249999999999998</v>
      </c>
      <c r="L412" s="82">
        <f t="shared" si="56"/>
        <v>0.85249999999999992</v>
      </c>
      <c r="M412" s="82">
        <f t="shared" si="56"/>
        <v>375.55</v>
      </c>
      <c r="N412" s="82">
        <f t="shared" si="56"/>
        <v>232.9</v>
      </c>
      <c r="O412" s="83">
        <f t="shared" si="56"/>
        <v>62.05</v>
      </c>
      <c r="P412" s="83">
        <f t="shared" si="56"/>
        <v>351.45</v>
      </c>
      <c r="Q412" s="83">
        <f t="shared" si="56"/>
        <v>13.424999999999999</v>
      </c>
      <c r="R412" s="83">
        <f t="shared" si="56"/>
        <v>1.875</v>
      </c>
      <c r="S412" s="158">
        <f t="shared" si="56"/>
        <v>31.830000000000002</v>
      </c>
      <c r="T412" s="83">
        <f t="shared" si="56"/>
        <v>98.05</v>
      </c>
    </row>
    <row r="413" spans="1:20" ht="15" customHeight="1" x14ac:dyDescent="0.25">
      <c r="A413" s="289" t="s">
        <v>26</v>
      </c>
      <c r="B413" s="297"/>
      <c r="C413" s="297"/>
      <c r="D413" s="297"/>
      <c r="E413" s="297"/>
      <c r="F413" s="297"/>
      <c r="G413" s="297"/>
      <c r="H413" s="312"/>
      <c r="I413" s="312"/>
      <c r="J413" s="312"/>
      <c r="K413" s="312"/>
      <c r="L413" s="312"/>
      <c r="M413" s="313"/>
      <c r="N413" s="313"/>
      <c r="O413" s="313"/>
      <c r="P413" s="313"/>
      <c r="Q413" s="313"/>
      <c r="R413" s="313"/>
      <c r="S413" s="313"/>
      <c r="T413" s="314"/>
    </row>
    <row r="414" spans="1:20" ht="15" customHeight="1" x14ac:dyDescent="0.25">
      <c r="A414" s="19">
        <v>9</v>
      </c>
      <c r="B414" s="201" t="s">
        <v>84</v>
      </c>
      <c r="C414" s="46">
        <v>50</v>
      </c>
      <c r="D414" s="220">
        <f>0.8/60*C414</f>
        <v>0.66666666666666674</v>
      </c>
      <c r="E414" s="220">
        <f>2/60*C414</f>
        <v>1.6666666666666667</v>
      </c>
      <c r="F414" s="220">
        <f>4.1/60*C414</f>
        <v>3.4166666666666665</v>
      </c>
      <c r="G414" s="220">
        <f>37.6/60*C414</f>
        <v>31.333333333333336</v>
      </c>
      <c r="H414" s="220">
        <f>0.03/60*C414</f>
        <v>2.5000000000000001E-2</v>
      </c>
      <c r="I414" s="220">
        <f>0.04/60*C414</f>
        <v>3.3333333333333333E-2</v>
      </c>
      <c r="J414" s="220">
        <f>793/60*C414</f>
        <v>660.83333333333337</v>
      </c>
      <c r="K414" s="220">
        <f>0.04/60*C414</f>
        <v>3.3333333333333333E-2</v>
      </c>
      <c r="L414" s="220">
        <f>1.31/60*C414</f>
        <v>1.0916666666666666</v>
      </c>
      <c r="M414" s="220">
        <f>109/60*C414</f>
        <v>90.833333333333329</v>
      </c>
      <c r="N414" s="220">
        <f>16/60*C414</f>
        <v>13.333333333333334</v>
      </c>
      <c r="O414" s="220">
        <f>22/60*C414</f>
        <v>18.333333333333332</v>
      </c>
      <c r="P414" s="220">
        <f>32/60*C414</f>
        <v>26.666666666666668</v>
      </c>
      <c r="Q414" s="220">
        <f>0.41/60*C414</f>
        <v>0.34166666666666662</v>
      </c>
      <c r="R414" s="220">
        <f>3.3/60*C414</f>
        <v>2.75</v>
      </c>
      <c r="S414" s="229">
        <f>0.09/60*C414</f>
        <v>7.4999999999999997E-2</v>
      </c>
      <c r="T414" s="220">
        <f>36/60*C414</f>
        <v>30</v>
      </c>
    </row>
    <row r="415" spans="1:20" ht="15" customHeight="1" x14ac:dyDescent="0.25">
      <c r="A415" s="141" t="s">
        <v>157</v>
      </c>
      <c r="B415" s="201" t="s">
        <v>52</v>
      </c>
      <c r="C415" s="46">
        <v>150</v>
      </c>
      <c r="D415" s="21">
        <v>0.6</v>
      </c>
      <c r="E415" s="21">
        <v>9.36</v>
      </c>
      <c r="F415" s="21">
        <f>33.5/200*C415</f>
        <v>25.125</v>
      </c>
      <c r="G415" s="21">
        <f>284.1/200*C415</f>
        <v>213.07500000000002</v>
      </c>
      <c r="H415" s="25">
        <v>0.02</v>
      </c>
      <c r="I415" s="25">
        <f>0.03/200*C415</f>
        <v>2.2499999999999999E-2</v>
      </c>
      <c r="J415" s="25">
        <f>105/200*C415</f>
        <v>78.75</v>
      </c>
      <c r="K415" s="25">
        <v>0</v>
      </c>
      <c r="L415" s="25">
        <f>10.76/200*C415</f>
        <v>8.07</v>
      </c>
      <c r="M415" s="25">
        <f>184/200*C415</f>
        <v>138</v>
      </c>
      <c r="N415" s="25">
        <f>37.4/200*C415</f>
        <v>28.05</v>
      </c>
      <c r="O415" s="25">
        <f>13.2/200*C415</f>
        <v>9.9</v>
      </c>
      <c r="P415" s="25">
        <f>31/200*C415</f>
        <v>23.25</v>
      </c>
      <c r="Q415" s="25">
        <f>0.47/200*C415</f>
        <v>0.35249999999999992</v>
      </c>
      <c r="R415" s="25">
        <f>15.2/200*C415</f>
        <v>11.4</v>
      </c>
      <c r="S415" s="25">
        <f>0.34/200*C415</f>
        <v>0.255</v>
      </c>
      <c r="T415" s="25">
        <f>14.76/200*C415</f>
        <v>11.07</v>
      </c>
    </row>
    <row r="416" spans="1:20" ht="15" customHeight="1" x14ac:dyDescent="0.25">
      <c r="A416" s="4" t="s">
        <v>130</v>
      </c>
      <c r="B416" s="35" t="s">
        <v>68</v>
      </c>
      <c r="C416" s="6">
        <v>150</v>
      </c>
      <c r="D416" s="7">
        <f>5.4/150*C416</f>
        <v>5.4</v>
      </c>
      <c r="E416" s="7">
        <f>4.9/150*C416</f>
        <v>4.9000000000000004</v>
      </c>
      <c r="F416" s="7">
        <v>29.5</v>
      </c>
      <c r="G416" s="7">
        <v>96</v>
      </c>
      <c r="H416" s="7">
        <f>0.06/150*C416</f>
        <v>0.06</v>
      </c>
      <c r="I416" s="7">
        <f>0.03/150*C416</f>
        <v>0.03</v>
      </c>
      <c r="J416" s="7">
        <f>18.4/150*C416</f>
        <v>18.399999999999999</v>
      </c>
      <c r="K416" s="7">
        <f>0.09/150*C416</f>
        <v>0.09</v>
      </c>
      <c r="L416" s="13">
        <v>0</v>
      </c>
      <c r="M416" s="7">
        <f>53.8/150*C416</f>
        <v>53.8</v>
      </c>
      <c r="N416" s="7">
        <f>12/150*C416</f>
        <v>12</v>
      </c>
      <c r="O416" s="7">
        <f>7.2/150*C416</f>
        <v>7.2</v>
      </c>
      <c r="P416" s="7">
        <f>41/150*C416</f>
        <v>41</v>
      </c>
      <c r="Q416" s="7">
        <f>0.73/150*C416</f>
        <v>0.73</v>
      </c>
      <c r="R416" s="7">
        <f>21/150*C416</f>
        <v>21.000000000000004</v>
      </c>
      <c r="S416" s="128">
        <f>0.06/150*C416</f>
        <v>0.06</v>
      </c>
      <c r="T416" s="7">
        <f>15/150*C416</f>
        <v>15</v>
      </c>
    </row>
    <row r="417" spans="1:20" ht="15" customHeight="1" x14ac:dyDescent="0.25">
      <c r="A417" s="270" t="s">
        <v>178</v>
      </c>
      <c r="B417" s="5" t="s">
        <v>58</v>
      </c>
      <c r="C417" s="26">
        <v>80</v>
      </c>
      <c r="D417" s="25">
        <v>13</v>
      </c>
      <c r="E417" s="25">
        <f>3.2/80*C417</f>
        <v>3.2</v>
      </c>
      <c r="F417" s="25">
        <v>5.0999999999999996</v>
      </c>
      <c r="G417" s="86">
        <f>126.4/80*C417</f>
        <v>126.4</v>
      </c>
      <c r="H417" s="25">
        <f>0.05/80*C417</f>
        <v>0.05</v>
      </c>
      <c r="I417" s="25">
        <f>0.06/80*C417</f>
        <v>0.06</v>
      </c>
      <c r="J417" s="25">
        <f>4.72/80*C417</f>
        <v>4.72</v>
      </c>
      <c r="K417" s="25">
        <v>0</v>
      </c>
      <c r="L417" s="25">
        <f>0.47/80*C417</f>
        <v>0.47</v>
      </c>
      <c r="M417" s="25">
        <f>172/80*C417</f>
        <v>172</v>
      </c>
      <c r="N417" s="25">
        <f>22/80*C417</f>
        <v>22</v>
      </c>
      <c r="O417" s="25">
        <f>48/80*C417</f>
        <v>48</v>
      </c>
      <c r="P417" s="25">
        <f>108/80*C417</f>
        <v>108</v>
      </c>
      <c r="Q417" s="25">
        <f>1.03/80*C417</f>
        <v>1.03</v>
      </c>
      <c r="R417" s="25">
        <f>13/80*C417</f>
        <v>13</v>
      </c>
      <c r="S417" s="25">
        <f>13.8/80*C417</f>
        <v>13.8</v>
      </c>
      <c r="T417" s="25">
        <f>77/80*C417</f>
        <v>77</v>
      </c>
    </row>
    <row r="418" spans="1:20" ht="15" customHeight="1" x14ac:dyDescent="0.25">
      <c r="A418" s="131" t="s">
        <v>131</v>
      </c>
      <c r="B418" s="97" t="s">
        <v>41</v>
      </c>
      <c r="C418" s="41">
        <v>30</v>
      </c>
      <c r="D418" s="42">
        <f>0.54/30*C418</f>
        <v>0.54</v>
      </c>
      <c r="E418" s="42">
        <f>3.67/30*C418</f>
        <v>3.67</v>
      </c>
      <c r="F418" s="42">
        <f>5.24/30*C418</f>
        <v>5.24</v>
      </c>
      <c r="G418" s="42">
        <f>56.16/30*C418</f>
        <v>56.16</v>
      </c>
      <c r="H418" s="42">
        <f>0.01/30*C418</f>
        <v>0.01</v>
      </c>
      <c r="I418" s="42">
        <v>0</v>
      </c>
      <c r="J418" s="42">
        <v>0</v>
      </c>
      <c r="K418" s="42">
        <f>0.23/30*C418</f>
        <v>0.23</v>
      </c>
      <c r="L418" s="42">
        <f>1.68/30*C418</f>
        <v>1.68</v>
      </c>
      <c r="M418" s="42">
        <f>2/30*C418</f>
        <v>2</v>
      </c>
      <c r="N418" s="42">
        <f>5/30*C418</f>
        <v>5</v>
      </c>
      <c r="O418" s="42">
        <v>0</v>
      </c>
      <c r="P418" s="42">
        <f>23.6/30*C418</f>
        <v>23.6</v>
      </c>
      <c r="Q418" s="42">
        <v>0</v>
      </c>
      <c r="R418" s="42">
        <f>0.01/30*C418</f>
        <v>0.01</v>
      </c>
      <c r="S418" s="165">
        <v>0</v>
      </c>
      <c r="T418" s="25">
        <f>0.04/30*C418</f>
        <v>0.04</v>
      </c>
    </row>
    <row r="419" spans="1:20" ht="15" customHeight="1" x14ac:dyDescent="0.25">
      <c r="A419" s="8" t="s">
        <v>182</v>
      </c>
      <c r="B419" s="32" t="s">
        <v>71</v>
      </c>
      <c r="C419" s="90">
        <v>150</v>
      </c>
      <c r="D419" s="25">
        <v>0.1</v>
      </c>
      <c r="E419" s="25">
        <f>0.14/200*C419</f>
        <v>0.10500000000000001</v>
      </c>
      <c r="F419" s="25">
        <f>9.93/200*C419</f>
        <v>7.4474999999999998</v>
      </c>
      <c r="G419" s="25">
        <f>41.5/200*C419</f>
        <v>31.125</v>
      </c>
      <c r="H419" s="25">
        <f>0.01/200*C419</f>
        <v>7.5000000000000006E-3</v>
      </c>
      <c r="I419" s="25">
        <f>0.01/200*C419</f>
        <v>7.5000000000000006E-3</v>
      </c>
      <c r="J419" s="25">
        <f>1.2/200*C419</f>
        <v>0.9</v>
      </c>
      <c r="K419" s="25">
        <v>0</v>
      </c>
      <c r="L419" s="25">
        <f>1.6/200*C419</f>
        <v>1.2</v>
      </c>
      <c r="M419" s="25">
        <f>92.5/200</f>
        <v>0.46250000000000002</v>
      </c>
      <c r="N419" s="25">
        <f>58.2/200</f>
        <v>0.29100000000000004</v>
      </c>
      <c r="O419" s="25">
        <f>3.1/200*C419</f>
        <v>2.3250000000000002</v>
      </c>
      <c r="P419" s="25">
        <f>3.8/200*C419</f>
        <v>2.85</v>
      </c>
      <c r="Q419" s="25">
        <f>0.79/200*C419</f>
        <v>0.59250000000000003</v>
      </c>
      <c r="R419" s="25">
        <f>0.8/200*C419</f>
        <v>0.6</v>
      </c>
      <c r="S419" s="86">
        <f>0.1/200*C419</f>
        <v>7.4999999999999997E-2</v>
      </c>
      <c r="T419" s="25">
        <f>3.2/200*C419</f>
        <v>2.4</v>
      </c>
    </row>
    <row r="420" spans="1:20" ht="15" customHeight="1" x14ac:dyDescent="0.25">
      <c r="A420" s="95" t="s">
        <v>124</v>
      </c>
      <c r="B420" s="35" t="s">
        <v>23</v>
      </c>
      <c r="C420" s="6">
        <v>60</v>
      </c>
      <c r="D420" s="10">
        <f>1.5/25*C420</f>
        <v>3.5999999999999996</v>
      </c>
      <c r="E420" s="10">
        <f>0.5/25*C420</f>
        <v>1.2</v>
      </c>
      <c r="F420" s="10">
        <f>10.2/25*C420</f>
        <v>24.479999999999997</v>
      </c>
      <c r="G420" s="10">
        <f>52/25*C420</f>
        <v>124.80000000000001</v>
      </c>
      <c r="H420" s="10">
        <f>0.1/25*C420</f>
        <v>0.24</v>
      </c>
      <c r="I420" s="10">
        <f>0.08/25*C420</f>
        <v>0.192</v>
      </c>
      <c r="J420" s="10">
        <v>0</v>
      </c>
      <c r="K420" s="10">
        <v>0</v>
      </c>
      <c r="L420" s="10">
        <f>0.1/25*C420</f>
        <v>0.24</v>
      </c>
      <c r="M420" s="10">
        <f>41.5/25*C420</f>
        <v>99.6</v>
      </c>
      <c r="N420" s="10">
        <f>19.75/25*C420</f>
        <v>47.400000000000006</v>
      </c>
      <c r="O420" s="10">
        <f>10/25*C420</f>
        <v>24</v>
      </c>
      <c r="P420" s="10">
        <f>31.25/25*C420</f>
        <v>75</v>
      </c>
      <c r="Q420" s="10">
        <f>10/25*C420</f>
        <v>24</v>
      </c>
      <c r="R420" s="10">
        <f>0.7/25*C420</f>
        <v>1.6799999999999997</v>
      </c>
      <c r="S420" s="172">
        <f>7.73/25*C420</f>
        <v>18.552000000000003</v>
      </c>
      <c r="T420" s="10">
        <f>12.75/25*C420</f>
        <v>30.6</v>
      </c>
    </row>
    <row r="421" spans="1:20" ht="15" customHeight="1" x14ac:dyDescent="0.25">
      <c r="A421" s="95" t="s">
        <v>124</v>
      </c>
      <c r="B421" s="32" t="s">
        <v>24</v>
      </c>
      <c r="C421" s="16">
        <v>30</v>
      </c>
      <c r="D421" s="25">
        <f>3.4/45*C421</f>
        <v>2.2666666666666666</v>
      </c>
      <c r="E421" s="25">
        <f>0.4/45*C421</f>
        <v>0.26666666666666666</v>
      </c>
      <c r="F421" s="25">
        <f>22.1/45*C421</f>
        <v>14.733333333333334</v>
      </c>
      <c r="G421" s="25">
        <f>105.8/45*C421</f>
        <v>70.533333333333331</v>
      </c>
      <c r="H421" s="25">
        <f>0.05/45*C421</f>
        <v>3.3333333333333333E-2</v>
      </c>
      <c r="I421" s="25">
        <f>0.01/45*C421</f>
        <v>6.6666666666666671E-3</v>
      </c>
      <c r="J421" s="25">
        <v>0</v>
      </c>
      <c r="K421" s="25">
        <v>0</v>
      </c>
      <c r="L421" s="25">
        <v>0</v>
      </c>
      <c r="M421" s="25">
        <f>46.5/45*C421</f>
        <v>31.000000000000004</v>
      </c>
      <c r="N421" s="27">
        <f>10/45*C421</f>
        <v>6.6666666666666661</v>
      </c>
      <c r="O421" s="27">
        <f>7/45*C421</f>
        <v>4.666666666666667</v>
      </c>
      <c r="P421" s="27">
        <f>32.5/45*C421</f>
        <v>21.666666666666668</v>
      </c>
      <c r="Q421" s="27">
        <f>1.6/45*C421</f>
        <v>1.0666666666666667</v>
      </c>
      <c r="R421" s="27">
        <f>0.55/45*C421</f>
        <v>0.3666666666666667</v>
      </c>
      <c r="S421" s="166">
        <f>3/45*C421</f>
        <v>2</v>
      </c>
      <c r="T421" s="27">
        <f>7.5/45*C421</f>
        <v>5</v>
      </c>
    </row>
    <row r="422" spans="1:20" ht="15" customHeight="1" x14ac:dyDescent="0.25">
      <c r="A422" s="95"/>
      <c r="B422" s="211"/>
      <c r="C422" s="212"/>
      <c r="D422" s="262"/>
      <c r="E422" s="262"/>
      <c r="F422" s="262"/>
      <c r="G422" s="262"/>
      <c r="H422" s="155"/>
      <c r="I422" s="106"/>
      <c r="J422" s="106"/>
      <c r="K422" s="11"/>
      <c r="L422" s="11"/>
      <c r="M422" s="11"/>
      <c r="N422" s="12"/>
      <c r="O422" s="12"/>
      <c r="P422" s="12"/>
      <c r="Q422" s="12"/>
      <c r="R422" s="12"/>
      <c r="S422" s="157"/>
      <c r="T422" s="12"/>
    </row>
    <row r="423" spans="1:20" ht="15" customHeight="1" x14ac:dyDescent="0.25">
      <c r="A423" s="4"/>
      <c r="B423" s="71" t="s">
        <v>29</v>
      </c>
      <c r="C423" s="98">
        <f t="shared" ref="C423:T423" si="57">SUM(C414:C421)</f>
        <v>700</v>
      </c>
      <c r="D423" s="75">
        <f t="shared" si="57"/>
        <v>26.173333333333332</v>
      </c>
      <c r="E423" s="75">
        <f t="shared" si="57"/>
        <v>24.368333333333332</v>
      </c>
      <c r="F423" s="148">
        <f t="shared" si="57"/>
        <v>115.0425</v>
      </c>
      <c r="G423" s="75">
        <f t="shared" si="57"/>
        <v>749.42666666666673</v>
      </c>
      <c r="H423" s="75">
        <f t="shared" si="57"/>
        <v>0.4458333333333333</v>
      </c>
      <c r="I423" s="75">
        <f t="shared" si="57"/>
        <v>0.35199999999999998</v>
      </c>
      <c r="J423" s="148">
        <f t="shared" si="57"/>
        <v>763.60333333333335</v>
      </c>
      <c r="K423" s="75">
        <f t="shared" si="57"/>
        <v>0.35333333333333333</v>
      </c>
      <c r="L423" s="75">
        <f t="shared" si="57"/>
        <v>12.751666666666667</v>
      </c>
      <c r="M423" s="148">
        <f t="shared" si="57"/>
        <v>587.69583333333333</v>
      </c>
      <c r="N423" s="148">
        <f t="shared" si="57"/>
        <v>134.74099999999999</v>
      </c>
      <c r="O423" s="148">
        <f t="shared" si="57"/>
        <v>114.42500000000001</v>
      </c>
      <c r="P423" s="148">
        <f t="shared" si="57"/>
        <v>322.03333333333336</v>
      </c>
      <c r="Q423" s="148">
        <f t="shared" si="57"/>
        <v>28.113333333333333</v>
      </c>
      <c r="R423" s="148">
        <f t="shared" si="57"/>
        <v>50.806666666666672</v>
      </c>
      <c r="S423" s="148">
        <f t="shared" si="57"/>
        <v>34.817000000000007</v>
      </c>
      <c r="T423" s="148">
        <f t="shared" si="57"/>
        <v>171.10999999999999</v>
      </c>
    </row>
    <row r="424" spans="1:20" ht="15" customHeight="1" x14ac:dyDescent="0.25">
      <c r="A424" s="298" t="s">
        <v>30</v>
      </c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315"/>
    </row>
    <row r="425" spans="1:20" ht="15" customHeight="1" x14ac:dyDescent="0.25">
      <c r="A425" s="8" t="s">
        <v>124</v>
      </c>
      <c r="B425" s="32" t="s">
        <v>105</v>
      </c>
      <c r="C425" s="90">
        <v>200</v>
      </c>
      <c r="D425" s="61">
        <f>5.4/200*C425</f>
        <v>5.4</v>
      </c>
      <c r="E425" s="61">
        <f>5/200*C425</f>
        <v>5</v>
      </c>
      <c r="F425" s="61">
        <f>21.6/200*C425</f>
        <v>21.6</v>
      </c>
      <c r="G425" s="133">
        <f>158/200*C425</f>
        <v>158</v>
      </c>
      <c r="H425" s="61">
        <f>0.06/200*C425</f>
        <v>0.06</v>
      </c>
      <c r="I425" s="61">
        <f>0.26/200*C425</f>
        <v>0.26</v>
      </c>
      <c r="J425" s="61">
        <f>44/200*C425</f>
        <v>44</v>
      </c>
      <c r="K425" s="61">
        <f>0.06/200*C425</f>
        <v>0.06</v>
      </c>
      <c r="L425" s="61">
        <f>1.8/200*C425</f>
        <v>1.8000000000000003</v>
      </c>
      <c r="M425" s="61">
        <f>272/200*C425</f>
        <v>272</v>
      </c>
      <c r="N425" s="61">
        <f>242/200*C425</f>
        <v>242</v>
      </c>
      <c r="O425" s="61">
        <f>30/200*C425</f>
        <v>30</v>
      </c>
      <c r="P425" s="61">
        <v>0</v>
      </c>
      <c r="Q425" s="61">
        <f>18/200*C425</f>
        <v>18</v>
      </c>
      <c r="R425" s="61">
        <f>0.2/200*C425</f>
        <v>0.2</v>
      </c>
      <c r="S425" s="133">
        <f>4/200*C425</f>
        <v>4</v>
      </c>
      <c r="T425" s="61">
        <f>40/200*C425</f>
        <v>40</v>
      </c>
    </row>
    <row r="426" spans="1:20" ht="15" customHeight="1" x14ac:dyDescent="0.25">
      <c r="A426" s="8" t="s">
        <v>124</v>
      </c>
      <c r="B426" s="32" t="s">
        <v>55</v>
      </c>
      <c r="C426" s="28">
        <v>100</v>
      </c>
      <c r="D426" s="56">
        <v>5.5</v>
      </c>
      <c r="E426" s="56">
        <v>4.25</v>
      </c>
      <c r="F426" s="56">
        <v>17.670000000000002</v>
      </c>
      <c r="G426" s="56">
        <f>108/60*C426</f>
        <v>180</v>
      </c>
      <c r="H426" s="56">
        <f>0.07/60*C426</f>
        <v>0.11666666666666668</v>
      </c>
      <c r="I426" s="56">
        <f>0.01/60*C426</f>
        <v>1.6666666666666666E-2</v>
      </c>
      <c r="J426" s="56">
        <v>0</v>
      </c>
      <c r="K426" s="56">
        <v>0</v>
      </c>
      <c r="L426" s="56">
        <v>0</v>
      </c>
      <c r="M426" s="7">
        <f>61.2/60*C426</f>
        <v>102</v>
      </c>
      <c r="N426" s="7">
        <f>11.4/60*C426</f>
        <v>19</v>
      </c>
      <c r="O426" s="7">
        <f>8.4/60*C426</f>
        <v>14.000000000000002</v>
      </c>
      <c r="P426" s="7">
        <v>0</v>
      </c>
      <c r="Q426" s="7">
        <f>6/60*C426</f>
        <v>10</v>
      </c>
      <c r="R426" s="7">
        <f>0.78/60*C426</f>
        <v>1.3</v>
      </c>
      <c r="S426" s="128">
        <f>11.4/60*C426</f>
        <v>19</v>
      </c>
      <c r="T426" s="7">
        <v>0</v>
      </c>
    </row>
    <row r="427" spans="1:20" ht="15" customHeight="1" x14ac:dyDescent="0.25">
      <c r="A427" s="4"/>
      <c r="B427" s="4"/>
      <c r="C427" s="28"/>
      <c r="D427" s="54"/>
      <c r="E427" s="54"/>
      <c r="F427" s="54"/>
      <c r="G427" s="54"/>
      <c r="H427" s="54"/>
      <c r="I427" s="54"/>
      <c r="J427" s="55"/>
      <c r="K427" s="54"/>
      <c r="L427" s="54"/>
      <c r="M427" s="54"/>
      <c r="N427" s="54"/>
      <c r="O427" s="54"/>
      <c r="P427" s="54"/>
      <c r="Q427" s="54"/>
      <c r="R427" s="54"/>
      <c r="S427" s="159"/>
      <c r="T427" s="54"/>
    </row>
    <row r="428" spans="1:20" ht="15" customHeight="1" x14ac:dyDescent="0.25">
      <c r="A428" s="4"/>
      <c r="B428" s="28" t="s">
        <v>32</v>
      </c>
      <c r="C428" s="29">
        <f>SUM(C425:C426)</f>
        <v>300</v>
      </c>
      <c r="D428" s="30">
        <f>SUM(D425:D426)</f>
        <v>10.9</v>
      </c>
      <c r="E428" s="30">
        <f t="shared" ref="E428:Q428" si="58">SUM(E425:E426)</f>
        <v>9.25</v>
      </c>
      <c r="F428" s="30">
        <f t="shared" si="58"/>
        <v>39.270000000000003</v>
      </c>
      <c r="G428" s="30">
        <f t="shared" si="58"/>
        <v>338</v>
      </c>
      <c r="H428" s="30">
        <f t="shared" si="58"/>
        <v>0.17666666666666669</v>
      </c>
      <c r="I428" s="30">
        <f t="shared" si="58"/>
        <v>0.27666666666666667</v>
      </c>
      <c r="J428" s="30">
        <f t="shared" si="58"/>
        <v>44</v>
      </c>
      <c r="K428" s="30">
        <f t="shared" si="58"/>
        <v>0.06</v>
      </c>
      <c r="L428" s="30">
        <f t="shared" si="58"/>
        <v>1.8000000000000003</v>
      </c>
      <c r="M428" s="30">
        <f t="shared" si="58"/>
        <v>374</v>
      </c>
      <c r="N428" s="30">
        <f t="shared" si="58"/>
        <v>261</v>
      </c>
      <c r="O428" s="30">
        <f t="shared" si="58"/>
        <v>44</v>
      </c>
      <c r="P428" s="30">
        <f t="shared" si="58"/>
        <v>0</v>
      </c>
      <c r="Q428" s="30">
        <f t="shared" si="58"/>
        <v>28</v>
      </c>
      <c r="R428" s="30">
        <f>SUM(R425:R426)</f>
        <v>1.5</v>
      </c>
      <c r="S428" s="161">
        <f>SUM(S425:S426)</f>
        <v>23</v>
      </c>
      <c r="T428" s="30">
        <f>SUM(T425:T426)</f>
        <v>40</v>
      </c>
    </row>
    <row r="429" spans="1:20" ht="15" customHeight="1" x14ac:dyDescent="0.25">
      <c r="A429" s="4"/>
      <c r="B429" s="28" t="s">
        <v>33</v>
      </c>
      <c r="C429" s="29">
        <f t="shared" ref="C429:Q429" si="59">C428+C423+C412</f>
        <v>1530</v>
      </c>
      <c r="D429" s="30">
        <f t="shared" si="59"/>
        <v>52.598333333333329</v>
      </c>
      <c r="E429" s="29">
        <f t="shared" si="59"/>
        <v>50.218333333333334</v>
      </c>
      <c r="F429" s="29">
        <f t="shared" si="59"/>
        <v>232.91249999999999</v>
      </c>
      <c r="G429" s="30">
        <f t="shared" si="59"/>
        <v>1584.4016666666666</v>
      </c>
      <c r="H429" s="29">
        <f t="shared" si="59"/>
        <v>67.022499999999994</v>
      </c>
      <c r="I429" s="29">
        <f t="shared" si="59"/>
        <v>0.95116666666666672</v>
      </c>
      <c r="J429" s="29">
        <f t="shared" si="59"/>
        <v>904.77833333333331</v>
      </c>
      <c r="K429" s="29">
        <f t="shared" si="59"/>
        <v>0.70583333333333331</v>
      </c>
      <c r="L429" s="29">
        <f t="shared" si="59"/>
        <v>15.404166666666667</v>
      </c>
      <c r="M429" s="29">
        <f t="shared" si="59"/>
        <v>1337.2458333333334</v>
      </c>
      <c r="N429" s="29">
        <f t="shared" si="59"/>
        <v>628.64099999999996</v>
      </c>
      <c r="O429" s="29">
        <f t="shared" si="59"/>
        <v>220.47500000000002</v>
      </c>
      <c r="P429" s="29">
        <f t="shared" si="59"/>
        <v>673.48333333333335</v>
      </c>
      <c r="Q429" s="29">
        <f t="shared" si="59"/>
        <v>69.538333333333327</v>
      </c>
      <c r="R429" s="29">
        <f>R428+R423+R412</f>
        <v>54.181666666666672</v>
      </c>
      <c r="S429" s="162">
        <f>S428+S423+S412</f>
        <v>89.647000000000006</v>
      </c>
      <c r="T429" s="29">
        <f>T428+T423+T412</f>
        <v>309.15999999999997</v>
      </c>
    </row>
    <row r="430" spans="1:20" ht="15" customHeight="1" x14ac:dyDescent="0.25">
      <c r="A430" s="293" t="s">
        <v>195</v>
      </c>
      <c r="B430" s="294"/>
      <c r="C430" s="294"/>
      <c r="D430" s="294"/>
      <c r="E430" s="294"/>
      <c r="F430" s="294"/>
      <c r="G430" s="294"/>
      <c r="H430" s="294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307"/>
    </row>
    <row r="431" spans="1:20" ht="15" customHeight="1" x14ac:dyDescent="0.25">
      <c r="A431" s="293" t="s">
        <v>203</v>
      </c>
      <c r="B431" s="294"/>
      <c r="C431" s="294"/>
      <c r="D431" s="294"/>
      <c r="E431" s="294"/>
      <c r="F431" s="294"/>
      <c r="G431" s="294"/>
      <c r="H431" s="294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4"/>
      <c r="T431" s="307"/>
    </row>
    <row r="432" spans="1:20" ht="15" customHeight="1" x14ac:dyDescent="0.25">
      <c r="A432" s="285" t="s">
        <v>18</v>
      </c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308"/>
    </row>
    <row r="433" spans="1:20" ht="15" customHeight="1" x14ac:dyDescent="0.25">
      <c r="A433" s="287" t="s">
        <v>19</v>
      </c>
      <c r="B433" s="296"/>
      <c r="C433" s="296"/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309"/>
    </row>
    <row r="434" spans="1:20" ht="15" customHeight="1" x14ac:dyDescent="0.25">
      <c r="A434" s="49" t="s">
        <v>142</v>
      </c>
      <c r="B434" s="32" t="s">
        <v>73</v>
      </c>
      <c r="C434" s="51">
        <v>250</v>
      </c>
      <c r="D434" s="25">
        <v>3.67</v>
      </c>
      <c r="E434" s="25">
        <f>6.3/150*C434</f>
        <v>10.499999999999998</v>
      </c>
      <c r="F434" s="25">
        <v>29.38</v>
      </c>
      <c r="G434" s="86">
        <v>289.5</v>
      </c>
      <c r="H434" s="61">
        <f>0.21/150*C434</f>
        <v>0.35</v>
      </c>
      <c r="I434" s="61">
        <f>0.12/150*C434</f>
        <v>0.19999999999999998</v>
      </c>
      <c r="J434" s="61">
        <f>19.2/150*C434</f>
        <v>32</v>
      </c>
      <c r="K434" s="61">
        <f>0.09/150*C434</f>
        <v>0.15</v>
      </c>
      <c r="L434" s="25">
        <v>0</v>
      </c>
      <c r="M434" s="25">
        <f>219/150*C434</f>
        <v>365</v>
      </c>
      <c r="N434" s="25">
        <f>15/150*C434</f>
        <v>25</v>
      </c>
      <c r="O434" s="25">
        <f>120/150*C434</f>
        <v>200</v>
      </c>
      <c r="P434" s="25">
        <f>181/150*C434</f>
        <v>301.66666666666669</v>
      </c>
      <c r="Q434" s="25">
        <f>4.04/150*C434</f>
        <v>6.7333333333333334</v>
      </c>
      <c r="R434" s="25">
        <f>22/150*C434</f>
        <v>36.666666666666664</v>
      </c>
      <c r="S434" s="86">
        <f>3.52/150*C434</f>
        <v>5.8666666666666671</v>
      </c>
      <c r="T434" s="25">
        <f>16/150*C434</f>
        <v>26.666666666666668</v>
      </c>
    </row>
    <row r="435" spans="1:20" ht="15" customHeight="1" x14ac:dyDescent="0.25">
      <c r="A435" s="8" t="s">
        <v>134</v>
      </c>
      <c r="B435" s="32" t="s">
        <v>36</v>
      </c>
      <c r="C435" s="9">
        <v>200</v>
      </c>
      <c r="D435" s="10">
        <f>3.8/200*C435</f>
        <v>3.8</v>
      </c>
      <c r="E435" s="10">
        <f>2.9/200*C435</f>
        <v>2.9</v>
      </c>
      <c r="F435" s="10">
        <f>11.3/200*C435</f>
        <v>11.3</v>
      </c>
      <c r="G435" s="10">
        <f>86/200*C435</f>
        <v>86</v>
      </c>
      <c r="H435" s="10">
        <f>0.03/200*C435</f>
        <v>0.03</v>
      </c>
      <c r="I435" s="10">
        <f>0.13/200*C435</f>
        <v>0.13</v>
      </c>
      <c r="J435" s="10">
        <f>13.3/200*C435</f>
        <v>13.3</v>
      </c>
      <c r="K435" s="10">
        <v>0</v>
      </c>
      <c r="L435" s="10">
        <f>0.52/200*C435</f>
        <v>0.52</v>
      </c>
      <c r="M435" s="11">
        <f>184/200*C435</f>
        <v>184</v>
      </c>
      <c r="N435" s="12">
        <f>111/200*C435</f>
        <v>111.00000000000001</v>
      </c>
      <c r="O435" s="12">
        <f>31/200*C435</f>
        <v>31</v>
      </c>
      <c r="P435" s="12">
        <f>107/200*C435</f>
        <v>107</v>
      </c>
      <c r="Q435" s="12">
        <f>1.07/200*C435</f>
        <v>1.07</v>
      </c>
      <c r="R435" s="12">
        <f>9/200*C435</f>
        <v>9</v>
      </c>
      <c r="S435" s="157">
        <f>1.76/200*C435</f>
        <v>1.76</v>
      </c>
      <c r="T435" s="12">
        <f>20/200*C435</f>
        <v>20</v>
      </c>
    </row>
    <row r="436" spans="1:20" ht="15" customHeight="1" x14ac:dyDescent="0.25">
      <c r="A436" s="14" t="s">
        <v>135</v>
      </c>
      <c r="B436" s="35" t="s">
        <v>22</v>
      </c>
      <c r="C436" s="6">
        <v>15</v>
      </c>
      <c r="D436" s="7">
        <f>3.5/15*C436</f>
        <v>3.5</v>
      </c>
      <c r="E436" s="7">
        <f>4.4/15*C436</f>
        <v>4.4000000000000004</v>
      </c>
      <c r="F436" s="7">
        <v>0</v>
      </c>
      <c r="G436" s="7">
        <f>53.7/15*C436</f>
        <v>53.7</v>
      </c>
      <c r="H436" s="7">
        <f>0.01/15*C436</f>
        <v>0.01</v>
      </c>
      <c r="I436" s="7">
        <f>0.05/15*C436</f>
        <v>0.05</v>
      </c>
      <c r="J436" s="7">
        <f>39/15*C436</f>
        <v>39</v>
      </c>
      <c r="K436" s="7">
        <f>0.15/15*C436</f>
        <v>0.15</v>
      </c>
      <c r="L436" s="7">
        <f>0.11/15*C436</f>
        <v>0.11</v>
      </c>
      <c r="M436" s="7">
        <f>13/15*C436</f>
        <v>13</v>
      </c>
      <c r="N436" s="7">
        <f>132/15*C436</f>
        <v>132</v>
      </c>
      <c r="O436" s="7">
        <f>5.3/15*C436</f>
        <v>5.3</v>
      </c>
      <c r="P436" s="7">
        <f>75/15*C436</f>
        <v>75</v>
      </c>
      <c r="Q436" s="7">
        <f>0.15/15*C436</f>
        <v>0.15</v>
      </c>
      <c r="R436" s="7">
        <v>0</v>
      </c>
      <c r="S436" s="128">
        <f>2.18/15*C436</f>
        <v>2.1800000000000002</v>
      </c>
      <c r="T436" s="7">
        <v>0</v>
      </c>
    </row>
    <row r="437" spans="1:20" ht="15" customHeight="1" x14ac:dyDescent="0.25">
      <c r="A437" s="14" t="s">
        <v>124</v>
      </c>
      <c r="B437" s="35" t="s">
        <v>23</v>
      </c>
      <c r="C437" s="6">
        <v>25</v>
      </c>
      <c r="D437" s="10">
        <f>1.5/25*C437</f>
        <v>1.5</v>
      </c>
      <c r="E437" s="10">
        <f>0.5/25*C437</f>
        <v>0.5</v>
      </c>
      <c r="F437" s="10">
        <f>10.2/25*C437</f>
        <v>10.199999999999999</v>
      </c>
      <c r="G437" s="10">
        <f>52/25*C437</f>
        <v>52</v>
      </c>
      <c r="H437" s="10">
        <f>0.1/25*C437</f>
        <v>0.1</v>
      </c>
      <c r="I437" s="10">
        <f>0.08/25*C437</f>
        <v>0.08</v>
      </c>
      <c r="J437" s="10">
        <v>0</v>
      </c>
      <c r="K437" s="10">
        <v>0</v>
      </c>
      <c r="L437" s="10">
        <f>0.1/25*C437</f>
        <v>0.1</v>
      </c>
      <c r="M437" s="10">
        <f>41.5/25*C437</f>
        <v>41.5</v>
      </c>
      <c r="N437" s="10">
        <f>19.75/25*C437</f>
        <v>19.75</v>
      </c>
      <c r="O437" s="10">
        <f>10/25*C437</f>
        <v>10</v>
      </c>
      <c r="P437" s="10">
        <f>31.25/25*C437</f>
        <v>31.25</v>
      </c>
      <c r="Q437" s="10">
        <f>10/25*C437</f>
        <v>10</v>
      </c>
      <c r="R437" s="10">
        <f>0.7/25*C437</f>
        <v>0.7</v>
      </c>
      <c r="S437" s="172">
        <f>7.73/25*C437</f>
        <v>7.73</v>
      </c>
      <c r="T437" s="10">
        <f>12.75/25*C437</f>
        <v>12.75</v>
      </c>
    </row>
    <row r="438" spans="1:20" ht="15" customHeight="1" x14ac:dyDescent="0.25">
      <c r="A438" s="14" t="s">
        <v>124</v>
      </c>
      <c r="B438" s="32" t="s">
        <v>24</v>
      </c>
      <c r="C438" s="16">
        <v>45</v>
      </c>
      <c r="D438" s="25">
        <f>3.4/45*C438</f>
        <v>3.4</v>
      </c>
      <c r="E438" s="25">
        <f>0.4/45*C438</f>
        <v>0.4</v>
      </c>
      <c r="F438" s="25">
        <f>22.1/45*C438</f>
        <v>22.1</v>
      </c>
      <c r="G438" s="25">
        <f>105.8/45*C438</f>
        <v>105.8</v>
      </c>
      <c r="H438" s="25">
        <f>0.05/45*C438</f>
        <v>0.05</v>
      </c>
      <c r="I438" s="25">
        <f>0.01/45*C438</f>
        <v>0.01</v>
      </c>
      <c r="J438" s="25">
        <v>0</v>
      </c>
      <c r="K438" s="25">
        <v>0</v>
      </c>
      <c r="L438" s="25">
        <v>0</v>
      </c>
      <c r="M438" s="25">
        <f>46.5/45*C438</f>
        <v>46.500000000000007</v>
      </c>
      <c r="N438" s="27">
        <f>10/45*C438</f>
        <v>10</v>
      </c>
      <c r="O438" s="27">
        <f>7/45*C438</f>
        <v>7</v>
      </c>
      <c r="P438" s="27">
        <f>32.5/45*C438</f>
        <v>32.5</v>
      </c>
      <c r="Q438" s="27">
        <f>1.6/45*C438</f>
        <v>1.6</v>
      </c>
      <c r="R438" s="27">
        <f>0.55/45*C438</f>
        <v>0.55000000000000004</v>
      </c>
      <c r="S438" s="166">
        <f>3/45*C438</f>
        <v>3</v>
      </c>
      <c r="T438" s="27">
        <f>7.5/45*C438</f>
        <v>7.5</v>
      </c>
    </row>
    <row r="439" spans="1:20" ht="15" customHeight="1" x14ac:dyDescent="0.25">
      <c r="A439" s="15"/>
      <c r="B439" s="4"/>
      <c r="C439" s="16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2"/>
      <c r="O439" s="12"/>
      <c r="P439" s="12"/>
      <c r="Q439" s="12"/>
      <c r="R439" s="12"/>
      <c r="S439" s="157"/>
      <c r="T439" s="12"/>
    </row>
    <row r="440" spans="1:20" ht="15" customHeight="1" x14ac:dyDescent="0.25">
      <c r="A440" s="17"/>
      <c r="B440" s="6" t="s">
        <v>25</v>
      </c>
      <c r="C440" s="17">
        <f t="shared" ref="C440:T440" si="60">SUM(C434:C438)</f>
        <v>535</v>
      </c>
      <c r="D440" s="82">
        <f t="shared" si="60"/>
        <v>15.87</v>
      </c>
      <c r="E440" s="82">
        <f t="shared" si="60"/>
        <v>18.699999999999996</v>
      </c>
      <c r="F440" s="82">
        <f t="shared" si="60"/>
        <v>72.97999999999999</v>
      </c>
      <c r="G440" s="82">
        <f t="shared" si="60"/>
        <v>587</v>
      </c>
      <c r="H440" s="82">
        <f t="shared" si="60"/>
        <v>0.54</v>
      </c>
      <c r="I440" s="82">
        <f t="shared" si="60"/>
        <v>0.47</v>
      </c>
      <c r="J440" s="82">
        <f t="shared" si="60"/>
        <v>84.3</v>
      </c>
      <c r="K440" s="82">
        <f t="shared" si="60"/>
        <v>0.3</v>
      </c>
      <c r="L440" s="82">
        <f t="shared" si="60"/>
        <v>0.73</v>
      </c>
      <c r="M440" s="82">
        <f t="shared" si="60"/>
        <v>650</v>
      </c>
      <c r="N440" s="82">
        <f t="shared" si="60"/>
        <v>297.75</v>
      </c>
      <c r="O440" s="83">
        <f t="shared" si="60"/>
        <v>253.3</v>
      </c>
      <c r="P440" s="83">
        <f t="shared" si="60"/>
        <v>547.41666666666674</v>
      </c>
      <c r="Q440" s="83">
        <f t="shared" si="60"/>
        <v>19.553333333333335</v>
      </c>
      <c r="R440" s="83">
        <f t="shared" si="60"/>
        <v>46.916666666666664</v>
      </c>
      <c r="S440" s="158">
        <f t="shared" si="60"/>
        <v>20.536666666666669</v>
      </c>
      <c r="T440" s="83">
        <f t="shared" si="60"/>
        <v>66.916666666666671</v>
      </c>
    </row>
    <row r="441" spans="1:20" ht="15" customHeight="1" x14ac:dyDescent="0.25">
      <c r="A441" s="289" t="s">
        <v>26</v>
      </c>
      <c r="B441" s="297"/>
      <c r="C441" s="297"/>
      <c r="D441" s="297"/>
      <c r="E441" s="297"/>
      <c r="F441" s="297"/>
      <c r="G441" s="297"/>
      <c r="H441" s="312"/>
      <c r="I441" s="312"/>
      <c r="J441" s="312"/>
      <c r="K441" s="312"/>
      <c r="L441" s="312"/>
      <c r="M441" s="313"/>
      <c r="N441" s="313"/>
      <c r="O441" s="313"/>
      <c r="P441" s="313"/>
      <c r="Q441" s="313"/>
      <c r="R441" s="313"/>
      <c r="S441" s="313"/>
      <c r="T441" s="314"/>
    </row>
    <row r="442" spans="1:20" ht="15" customHeight="1" x14ac:dyDescent="0.25">
      <c r="A442" s="8" t="s">
        <v>126</v>
      </c>
      <c r="B442" s="5" t="s">
        <v>39</v>
      </c>
      <c r="C442" s="24">
        <v>50</v>
      </c>
      <c r="D442" s="25">
        <f>0.5/60*C442</f>
        <v>0.41666666666666669</v>
      </c>
      <c r="E442" s="25">
        <f>0.1/60*C442</f>
        <v>8.3333333333333343E-2</v>
      </c>
      <c r="F442" s="25">
        <f>1.5/60*C442</f>
        <v>1.25</v>
      </c>
      <c r="G442" s="86">
        <f>8.5/60*C442</f>
        <v>7.083333333333333</v>
      </c>
      <c r="H442" s="216">
        <f>0.02/60*C442</f>
        <v>1.6666666666666666E-2</v>
      </c>
      <c r="I442" s="216">
        <f>0.02/60*C442</f>
        <v>1.6666666666666666E-2</v>
      </c>
      <c r="J442" s="216">
        <f>6/60*C442</f>
        <v>5</v>
      </c>
      <c r="K442" s="216">
        <v>0</v>
      </c>
      <c r="L442" s="231">
        <f>6/60*C442</f>
        <v>5</v>
      </c>
      <c r="M442" s="217">
        <f>85/60*C442</f>
        <v>70.833333333333343</v>
      </c>
      <c r="N442" s="217">
        <f>14/60*C442</f>
        <v>11.666666666666666</v>
      </c>
      <c r="O442" s="217">
        <f>8.4/60*C442</f>
        <v>7.0000000000000009</v>
      </c>
      <c r="P442" s="216">
        <f>25/60*C442</f>
        <v>20.833333333333336</v>
      </c>
      <c r="Q442" s="217">
        <f>0.36/60*C442</f>
        <v>0.3</v>
      </c>
      <c r="R442" s="216">
        <f>1.8/60*C442</f>
        <v>1.5000000000000002</v>
      </c>
      <c r="S442" s="218">
        <f>0.18/60*C442</f>
        <v>0.15</v>
      </c>
      <c r="T442" s="219">
        <f>10/60*C442</f>
        <v>8.3333333333333321</v>
      </c>
    </row>
    <row r="443" spans="1:20" ht="15" customHeight="1" x14ac:dyDescent="0.25">
      <c r="A443" s="141" t="s">
        <v>159</v>
      </c>
      <c r="B443" s="5" t="s">
        <v>87</v>
      </c>
      <c r="C443" s="26">
        <v>150</v>
      </c>
      <c r="D443" s="61">
        <v>11.4</v>
      </c>
      <c r="E443" s="61">
        <v>6.25</v>
      </c>
      <c r="F443" s="61">
        <v>34.75</v>
      </c>
      <c r="G443" s="61">
        <f>258.6/200*C443</f>
        <v>193.95000000000002</v>
      </c>
      <c r="H443" s="61">
        <f>0.59/200*C443</f>
        <v>0.4425</v>
      </c>
      <c r="I443" s="61">
        <f>0.48/200*C443</f>
        <v>0.36</v>
      </c>
      <c r="J443" s="93">
        <f>582/200*C443</f>
        <v>436.5</v>
      </c>
      <c r="K443" s="61">
        <f>0.63/200*C443</f>
        <v>0.47250000000000003</v>
      </c>
      <c r="L443" s="61">
        <f>43.1/200*C443</f>
        <v>32.325000000000003</v>
      </c>
      <c r="M443" s="61">
        <f>30/200*C443</f>
        <v>22.5</v>
      </c>
      <c r="N443" s="61">
        <f>160/200*C443</f>
        <v>120</v>
      </c>
      <c r="O443" s="94">
        <f>217/200*C443</f>
        <v>162.75</v>
      </c>
      <c r="P443" s="94">
        <f>726/200*C443</f>
        <v>544.5</v>
      </c>
      <c r="Q443" s="93">
        <f>5.8/200*C443</f>
        <v>4.3499999999999996</v>
      </c>
      <c r="R443" s="94">
        <f>409/200*C443</f>
        <v>306.75</v>
      </c>
      <c r="S443" s="133">
        <f>31.5/200*C443</f>
        <v>23.625</v>
      </c>
      <c r="T443" s="61">
        <f>169/200*C443</f>
        <v>126.75</v>
      </c>
    </row>
    <row r="444" spans="1:20" ht="15" customHeight="1" x14ac:dyDescent="0.25">
      <c r="A444" s="270" t="s">
        <v>168</v>
      </c>
      <c r="B444" s="40" t="s">
        <v>187</v>
      </c>
      <c r="C444" s="63">
        <v>250</v>
      </c>
      <c r="D444" s="21">
        <v>6.3</v>
      </c>
      <c r="E444" s="21">
        <f>12.5/250*C444</f>
        <v>12.5</v>
      </c>
      <c r="F444" s="21">
        <f>22.8/250*C444</f>
        <v>22.8</v>
      </c>
      <c r="G444" s="21">
        <f>268.8/250*C444</f>
        <v>268.8</v>
      </c>
      <c r="H444" s="21">
        <f>0.17/250*C444</f>
        <v>0.17</v>
      </c>
      <c r="I444" s="21">
        <f>0.2/250*C444</f>
        <v>0.2</v>
      </c>
      <c r="J444" s="21">
        <f>101/250*C444</f>
        <v>101</v>
      </c>
      <c r="K444" s="21">
        <f>0.05/250*C444</f>
        <v>0.05</v>
      </c>
      <c r="L444" s="21">
        <f>237/250*C444</f>
        <v>237</v>
      </c>
      <c r="M444" s="64">
        <f>902/250*C444</f>
        <v>902</v>
      </c>
      <c r="N444" s="21">
        <f>109.35/250*C444</f>
        <v>109.35</v>
      </c>
      <c r="O444" s="21">
        <f>50.95/250*C444</f>
        <v>50.95</v>
      </c>
      <c r="P444" s="21">
        <f>245/250*C444</f>
        <v>245</v>
      </c>
      <c r="Q444" s="21">
        <f>6.35/250*C444</f>
        <v>6.35</v>
      </c>
      <c r="R444" s="21">
        <f>3.2/250*C444</f>
        <v>3.2</v>
      </c>
      <c r="S444" s="89">
        <v>0</v>
      </c>
      <c r="T444" s="21">
        <f>87.86/250*C444</f>
        <v>87.86</v>
      </c>
    </row>
    <row r="445" spans="1:20" ht="15" customHeight="1" x14ac:dyDescent="0.25">
      <c r="A445" s="131" t="s">
        <v>131</v>
      </c>
      <c r="B445" s="97" t="s">
        <v>41</v>
      </c>
      <c r="C445" s="41">
        <v>30</v>
      </c>
      <c r="D445" s="42">
        <f>0.54/30*C445</f>
        <v>0.54</v>
      </c>
      <c r="E445" s="42">
        <f>3.67/30*C445</f>
        <v>3.67</v>
      </c>
      <c r="F445" s="42">
        <f>5.24/30*C445</f>
        <v>5.24</v>
      </c>
      <c r="G445" s="42">
        <f>56.16/30*C445</f>
        <v>56.16</v>
      </c>
      <c r="H445" s="42">
        <f>0.01/30*C445</f>
        <v>0.01</v>
      </c>
      <c r="I445" s="42">
        <v>0</v>
      </c>
      <c r="J445" s="42">
        <v>0</v>
      </c>
      <c r="K445" s="42">
        <f>0.23/30*C445</f>
        <v>0.23</v>
      </c>
      <c r="L445" s="42">
        <f>1.68/30*C445</f>
        <v>1.68</v>
      </c>
      <c r="M445" s="42">
        <f>2/30*C445</f>
        <v>2</v>
      </c>
      <c r="N445" s="42">
        <f>5/30*C445</f>
        <v>5</v>
      </c>
      <c r="O445" s="42">
        <v>0</v>
      </c>
      <c r="P445" s="42">
        <f>23.6/30*C445</f>
        <v>23.6</v>
      </c>
      <c r="Q445" s="42">
        <v>0</v>
      </c>
      <c r="R445" s="42">
        <f>0.01/30*C445</f>
        <v>0.01</v>
      </c>
      <c r="S445" s="165">
        <v>0</v>
      </c>
      <c r="T445" s="25">
        <f>0.04/30*C445</f>
        <v>0.04</v>
      </c>
    </row>
    <row r="446" spans="1:20" ht="15" customHeight="1" x14ac:dyDescent="0.25">
      <c r="A446" s="8" t="s">
        <v>140</v>
      </c>
      <c r="B446" s="32" t="s">
        <v>20</v>
      </c>
      <c r="C446" s="9">
        <v>200</v>
      </c>
      <c r="D446" s="10">
        <f>0.2/200*C446</f>
        <v>0.2</v>
      </c>
      <c r="E446" s="10">
        <v>0</v>
      </c>
      <c r="F446" s="10">
        <f>6.5/200*C446</f>
        <v>6.5</v>
      </c>
      <c r="G446" s="10">
        <f>26.8/200*C446</f>
        <v>26.8</v>
      </c>
      <c r="H446" s="10">
        <v>0</v>
      </c>
      <c r="I446" s="10">
        <f>0.01/200*C446</f>
        <v>0.01</v>
      </c>
      <c r="J446" s="10">
        <f>0.3/200*C446</f>
        <v>0.3</v>
      </c>
      <c r="K446" s="10">
        <v>0</v>
      </c>
      <c r="L446" s="10">
        <f>0.04/200*C446</f>
        <v>0.04</v>
      </c>
      <c r="M446" s="11">
        <f>20.8/200*C446</f>
        <v>20.8</v>
      </c>
      <c r="N446" s="12">
        <f>4.5/200*C446</f>
        <v>4.5</v>
      </c>
      <c r="O446" s="12">
        <f>3.8/200*C446</f>
        <v>3.8</v>
      </c>
      <c r="P446" s="12">
        <f>7.2/200*C446</f>
        <v>7.2000000000000011</v>
      </c>
      <c r="Q446" s="12">
        <f>0.73/200*C446</f>
        <v>0.73</v>
      </c>
      <c r="R446" s="12">
        <v>0</v>
      </c>
      <c r="S446" s="157">
        <v>0</v>
      </c>
      <c r="T446" s="12">
        <v>0</v>
      </c>
    </row>
    <row r="447" spans="1:20" ht="15" customHeight="1" x14ac:dyDescent="0.25">
      <c r="A447" s="95" t="s">
        <v>124</v>
      </c>
      <c r="B447" s="35" t="s">
        <v>23</v>
      </c>
      <c r="C447" s="6">
        <v>60</v>
      </c>
      <c r="D447" s="10">
        <f>1.5/25*C447</f>
        <v>3.5999999999999996</v>
      </c>
      <c r="E447" s="10">
        <f>0.5/25*C447</f>
        <v>1.2</v>
      </c>
      <c r="F447" s="10">
        <f>10.2/25*C447</f>
        <v>24.479999999999997</v>
      </c>
      <c r="G447" s="10">
        <f>52/25*C447</f>
        <v>124.80000000000001</v>
      </c>
      <c r="H447" s="10">
        <f>0.1/25*C447</f>
        <v>0.24</v>
      </c>
      <c r="I447" s="10">
        <f>0.08/25*C447</f>
        <v>0.192</v>
      </c>
      <c r="J447" s="10">
        <v>0</v>
      </c>
      <c r="K447" s="10">
        <v>0</v>
      </c>
      <c r="L447" s="10">
        <f>0.1/25*C447</f>
        <v>0.24</v>
      </c>
      <c r="M447" s="10">
        <f>41.5/25*C447</f>
        <v>99.6</v>
      </c>
      <c r="N447" s="10">
        <f>19.75/25*C447</f>
        <v>47.400000000000006</v>
      </c>
      <c r="O447" s="10">
        <f>10/25*C447</f>
        <v>24</v>
      </c>
      <c r="P447" s="10">
        <f>31.25/25*C447</f>
        <v>75</v>
      </c>
      <c r="Q447" s="10">
        <f>10/25*C447</f>
        <v>24</v>
      </c>
      <c r="R447" s="10">
        <f>0.7/25*C447</f>
        <v>1.6799999999999997</v>
      </c>
      <c r="S447" s="172">
        <f>7.73/25*C447</f>
        <v>18.552000000000003</v>
      </c>
      <c r="T447" s="10">
        <f>12.75/25*C447</f>
        <v>30.6</v>
      </c>
    </row>
    <row r="448" spans="1:20" ht="15" customHeight="1" x14ac:dyDescent="0.25">
      <c r="A448" s="95" t="s">
        <v>124</v>
      </c>
      <c r="B448" s="32" t="s">
        <v>24</v>
      </c>
      <c r="C448" s="16">
        <v>30</v>
      </c>
      <c r="D448" s="25">
        <f>3.4/45*C448</f>
        <v>2.2666666666666666</v>
      </c>
      <c r="E448" s="25">
        <f>0.4/45*C448</f>
        <v>0.26666666666666666</v>
      </c>
      <c r="F448" s="25">
        <f>22.1/45*C448</f>
        <v>14.733333333333334</v>
      </c>
      <c r="G448" s="25">
        <f>105.8/45*C448</f>
        <v>70.533333333333331</v>
      </c>
      <c r="H448" s="25">
        <f>0.05/45*C448</f>
        <v>3.3333333333333333E-2</v>
      </c>
      <c r="I448" s="25">
        <f>0.01/45*C448</f>
        <v>6.6666666666666671E-3</v>
      </c>
      <c r="J448" s="25">
        <v>0</v>
      </c>
      <c r="K448" s="25">
        <v>0</v>
      </c>
      <c r="L448" s="25">
        <v>0</v>
      </c>
      <c r="M448" s="25">
        <f>46.5/45*C448</f>
        <v>31.000000000000004</v>
      </c>
      <c r="N448" s="27">
        <f>10/45*C448</f>
        <v>6.6666666666666661</v>
      </c>
      <c r="O448" s="27">
        <f>7/45*C448</f>
        <v>4.666666666666667</v>
      </c>
      <c r="P448" s="27">
        <f>32.5/45*C448</f>
        <v>21.666666666666668</v>
      </c>
      <c r="Q448" s="27">
        <f>1.6/45*C448</f>
        <v>1.0666666666666667</v>
      </c>
      <c r="R448" s="27">
        <f>0.55/45*C448</f>
        <v>0.3666666666666667</v>
      </c>
      <c r="S448" s="166">
        <f>3/45*C448</f>
        <v>2</v>
      </c>
      <c r="T448" s="27">
        <f>7.5/45*C448</f>
        <v>5</v>
      </c>
    </row>
    <row r="449" spans="1:20" ht="15" customHeight="1" x14ac:dyDescent="0.25">
      <c r="A449" s="95"/>
      <c r="B449" s="211"/>
      <c r="C449" s="212"/>
      <c r="D449" s="103"/>
      <c r="E449" s="103"/>
      <c r="F449" s="103"/>
      <c r="G449" s="103"/>
      <c r="H449" s="155"/>
      <c r="I449" s="106"/>
      <c r="J449" s="106"/>
      <c r="K449" s="11"/>
      <c r="L449" s="11"/>
      <c r="M449" s="11"/>
      <c r="N449" s="12"/>
      <c r="O449" s="12"/>
      <c r="P449" s="12"/>
      <c r="Q449" s="12"/>
      <c r="R449" s="12"/>
      <c r="S449" s="157"/>
      <c r="T449" s="12"/>
    </row>
    <row r="450" spans="1:20" ht="15" customHeight="1" x14ac:dyDescent="0.25">
      <c r="A450" s="4"/>
      <c r="B450" s="71" t="s">
        <v>29</v>
      </c>
      <c r="C450" s="98">
        <f t="shared" ref="C450:T450" si="61">SUM(C442:C448)</f>
        <v>770</v>
      </c>
      <c r="D450" s="75">
        <f t="shared" si="61"/>
        <v>24.723333333333329</v>
      </c>
      <c r="E450" s="71">
        <f t="shared" si="61"/>
        <v>23.969999999999995</v>
      </c>
      <c r="F450" s="71">
        <f t="shared" si="61"/>
        <v>109.75333333333332</v>
      </c>
      <c r="G450" s="71">
        <f t="shared" si="61"/>
        <v>748.12666666666655</v>
      </c>
      <c r="H450" s="71">
        <f t="shared" si="61"/>
        <v>0.91249999999999998</v>
      </c>
      <c r="I450" s="71">
        <f t="shared" si="61"/>
        <v>0.78533333333333333</v>
      </c>
      <c r="J450" s="71">
        <f t="shared" si="61"/>
        <v>542.79999999999995</v>
      </c>
      <c r="K450" s="71">
        <f t="shared" si="61"/>
        <v>0.75250000000000006</v>
      </c>
      <c r="L450" s="71">
        <f t="shared" si="61"/>
        <v>276.28500000000003</v>
      </c>
      <c r="M450" s="71">
        <f t="shared" si="61"/>
        <v>1148.7333333333333</v>
      </c>
      <c r="N450" s="71">
        <f t="shared" si="61"/>
        <v>304.58333333333331</v>
      </c>
      <c r="O450" s="71">
        <f t="shared" si="61"/>
        <v>253.16666666666666</v>
      </c>
      <c r="P450" s="71">
        <f t="shared" si="61"/>
        <v>937.80000000000007</v>
      </c>
      <c r="Q450" s="71">
        <f t="shared" si="61"/>
        <v>36.796666666666674</v>
      </c>
      <c r="R450" s="71">
        <f t="shared" si="61"/>
        <v>313.50666666666666</v>
      </c>
      <c r="S450" s="71">
        <f t="shared" si="61"/>
        <v>44.326999999999998</v>
      </c>
      <c r="T450" s="71">
        <f t="shared" si="61"/>
        <v>258.58333333333331</v>
      </c>
    </row>
    <row r="451" spans="1:20" ht="15" customHeight="1" x14ac:dyDescent="0.25">
      <c r="A451" s="298" t="s">
        <v>30</v>
      </c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315"/>
    </row>
    <row r="452" spans="1:20" ht="15" customHeight="1" x14ac:dyDescent="0.25">
      <c r="A452" s="8">
        <v>100</v>
      </c>
      <c r="B452" s="5" t="s">
        <v>88</v>
      </c>
      <c r="C452" s="26">
        <v>100</v>
      </c>
      <c r="D452" s="21">
        <f>5.5/60*C452</f>
        <v>9.1666666666666661</v>
      </c>
      <c r="E452" s="21">
        <v>9</v>
      </c>
      <c r="F452" s="21">
        <v>34.67</v>
      </c>
      <c r="G452" s="21">
        <f>143.9/60*C452</f>
        <v>239.83333333333334</v>
      </c>
      <c r="H452" s="21">
        <f>0.18/60*C452</f>
        <v>0.3</v>
      </c>
      <c r="I452" s="21">
        <f>0.24/60*C452</f>
        <v>0.4</v>
      </c>
      <c r="J452" s="21">
        <f>42/60*C452</f>
        <v>70</v>
      </c>
      <c r="K452" s="21">
        <f>0.24/60*C452</f>
        <v>0.4</v>
      </c>
      <c r="L452" s="21">
        <f>0.01/60*C452</f>
        <v>1.6666666666666666E-2</v>
      </c>
      <c r="M452" s="21">
        <f>57/60*C452</f>
        <v>95</v>
      </c>
      <c r="N452" s="21">
        <f>20.64/60*C452</f>
        <v>34.400000000000006</v>
      </c>
      <c r="O452" s="21">
        <f>6.54/60*C452</f>
        <v>10.9</v>
      </c>
      <c r="P452" s="21">
        <f>54.54/60*C452</f>
        <v>90.9</v>
      </c>
      <c r="Q452" s="21">
        <f>2.94/60*C452</f>
        <v>4.9000000000000004</v>
      </c>
      <c r="R452" s="21">
        <f>0.72/60*C452</f>
        <v>1.2</v>
      </c>
      <c r="S452" s="89">
        <f>1.86/60*C452</f>
        <v>3.1000000000000005</v>
      </c>
      <c r="T452" s="21">
        <f>13.44/60*C452</f>
        <v>22.400000000000002</v>
      </c>
    </row>
    <row r="453" spans="1:20" ht="15" customHeight="1" x14ac:dyDescent="0.25">
      <c r="A453" s="8" t="s">
        <v>123</v>
      </c>
      <c r="B453" s="32" t="s">
        <v>122</v>
      </c>
      <c r="C453" s="9">
        <v>200</v>
      </c>
      <c r="D453" s="10">
        <f>1.6/200*C453</f>
        <v>1.6</v>
      </c>
      <c r="E453" s="10">
        <f>1.1/200*C453</f>
        <v>1.1000000000000001</v>
      </c>
      <c r="F453" s="10">
        <f>8.7/200*C453</f>
        <v>8.6999999999999993</v>
      </c>
      <c r="G453" s="10">
        <f>50.9/200*C453</f>
        <v>50.9</v>
      </c>
      <c r="H453" s="10">
        <f>0.01/200*C453</f>
        <v>0.01</v>
      </c>
      <c r="I453" s="10">
        <f>0.07/200*C453</f>
        <v>7.0000000000000007E-2</v>
      </c>
      <c r="J453" s="10">
        <f>6.9/200*C453</f>
        <v>6.9</v>
      </c>
      <c r="K453" s="10">
        <v>0</v>
      </c>
      <c r="L453" s="10">
        <f>0.3/200*C453</f>
        <v>0.3</v>
      </c>
      <c r="M453" s="21">
        <f>81.3/200*C453</f>
        <v>81.3</v>
      </c>
      <c r="N453" s="10">
        <f>57/200*C453</f>
        <v>56.999999999999993</v>
      </c>
      <c r="O453" s="10">
        <f>9.9/200*C453</f>
        <v>9.9</v>
      </c>
      <c r="P453" s="10">
        <f>46/200*C453</f>
        <v>46</v>
      </c>
      <c r="Q453" s="10">
        <f>0.77/200*C453</f>
        <v>0.77</v>
      </c>
      <c r="R453" s="10">
        <f>4.5/200*C453</f>
        <v>4.5</v>
      </c>
      <c r="S453" s="172">
        <f>0.88/200*C453</f>
        <v>0.88</v>
      </c>
      <c r="T453" s="10">
        <f>10/200*C453</f>
        <v>10</v>
      </c>
    </row>
    <row r="454" spans="1:20" ht="15" customHeight="1" x14ac:dyDescent="0.25">
      <c r="A454" s="4"/>
      <c r="B454" s="4"/>
      <c r="C454" s="29"/>
      <c r="D454" s="30"/>
      <c r="E454" s="30"/>
      <c r="F454" s="30"/>
      <c r="G454" s="30"/>
      <c r="H454" s="30"/>
      <c r="I454" s="30"/>
      <c r="J454" s="31"/>
      <c r="K454" s="30"/>
      <c r="L454" s="30"/>
      <c r="M454" s="30"/>
      <c r="N454" s="30"/>
      <c r="O454" s="30"/>
      <c r="P454" s="30"/>
      <c r="Q454" s="30"/>
      <c r="R454" s="30"/>
      <c r="S454" s="161"/>
      <c r="T454" s="30"/>
    </row>
    <row r="455" spans="1:20" ht="15" customHeight="1" x14ac:dyDescent="0.25">
      <c r="A455" s="4"/>
      <c r="B455" s="28" t="s">
        <v>32</v>
      </c>
      <c r="C455" s="29">
        <f>SUM(C452:C453)</f>
        <v>300</v>
      </c>
      <c r="D455" s="30">
        <f>SUM(D452:D453)</f>
        <v>10.766666666666666</v>
      </c>
      <c r="E455" s="30">
        <f t="shared" ref="E455:Q455" si="62">SUM(E452:E453)</f>
        <v>10.1</v>
      </c>
      <c r="F455" s="30">
        <f t="shared" si="62"/>
        <v>43.370000000000005</v>
      </c>
      <c r="G455" s="30">
        <f t="shared" si="62"/>
        <v>290.73333333333335</v>
      </c>
      <c r="H455" s="30">
        <f t="shared" si="62"/>
        <v>0.31</v>
      </c>
      <c r="I455" s="30">
        <f t="shared" si="62"/>
        <v>0.47000000000000003</v>
      </c>
      <c r="J455" s="30">
        <f t="shared" si="62"/>
        <v>76.900000000000006</v>
      </c>
      <c r="K455" s="30">
        <f t="shared" si="62"/>
        <v>0.4</v>
      </c>
      <c r="L455" s="30">
        <f t="shared" si="62"/>
        <v>0.31666666666666665</v>
      </c>
      <c r="M455" s="30">
        <f t="shared" si="62"/>
        <v>176.3</v>
      </c>
      <c r="N455" s="30">
        <f t="shared" si="62"/>
        <v>91.4</v>
      </c>
      <c r="O455" s="30">
        <f t="shared" si="62"/>
        <v>20.8</v>
      </c>
      <c r="P455" s="30">
        <f t="shared" si="62"/>
        <v>136.9</v>
      </c>
      <c r="Q455" s="30">
        <f t="shared" si="62"/>
        <v>5.67</v>
      </c>
      <c r="R455" s="30">
        <f>SUM(R452:R453)</f>
        <v>5.7</v>
      </c>
      <c r="S455" s="161">
        <f>SUM(S452:S453)</f>
        <v>3.9800000000000004</v>
      </c>
      <c r="T455" s="30">
        <f>SUM(T452:T453)</f>
        <v>32.400000000000006</v>
      </c>
    </row>
    <row r="456" spans="1:20" ht="15" customHeight="1" x14ac:dyDescent="0.25">
      <c r="A456" s="4"/>
      <c r="B456" s="28" t="s">
        <v>33</v>
      </c>
      <c r="C456" s="29">
        <f t="shared" ref="C456:Q456" si="63">C455+C450+C440</f>
        <v>1605</v>
      </c>
      <c r="D456" s="30">
        <f t="shared" si="63"/>
        <v>51.359999999999992</v>
      </c>
      <c r="E456" s="29">
        <f t="shared" si="63"/>
        <v>52.769999999999989</v>
      </c>
      <c r="F456" s="29">
        <f t="shared" si="63"/>
        <v>226.10333333333332</v>
      </c>
      <c r="G456" s="29">
        <f t="shared" si="63"/>
        <v>1625.86</v>
      </c>
      <c r="H456" s="29">
        <f t="shared" si="63"/>
        <v>1.7625</v>
      </c>
      <c r="I456" s="29">
        <f t="shared" si="63"/>
        <v>1.7253333333333334</v>
      </c>
      <c r="J456" s="29">
        <f t="shared" si="63"/>
        <v>703.99999999999989</v>
      </c>
      <c r="K456" s="29">
        <f t="shared" si="63"/>
        <v>1.4525000000000001</v>
      </c>
      <c r="L456" s="29">
        <f t="shared" si="63"/>
        <v>277.33166666666671</v>
      </c>
      <c r="M456" s="29">
        <f t="shared" si="63"/>
        <v>1975.0333333333333</v>
      </c>
      <c r="N456" s="29">
        <f t="shared" si="63"/>
        <v>693.73333333333335</v>
      </c>
      <c r="O456" s="29">
        <f t="shared" si="63"/>
        <v>527.26666666666665</v>
      </c>
      <c r="P456" s="29">
        <f t="shared" si="63"/>
        <v>1622.1166666666668</v>
      </c>
      <c r="Q456" s="29">
        <f t="shared" si="63"/>
        <v>62.02000000000001</v>
      </c>
      <c r="R456" s="29">
        <f>R455+R450+R440</f>
        <v>366.12333333333333</v>
      </c>
      <c r="S456" s="162">
        <f>S455+S450+S440</f>
        <v>68.843666666666678</v>
      </c>
      <c r="T456" s="29">
        <f>T455+T450+T440</f>
        <v>357.90000000000003</v>
      </c>
    </row>
    <row r="457" spans="1:20" ht="15" customHeight="1" x14ac:dyDescent="0.25">
      <c r="A457" s="293" t="s">
        <v>195</v>
      </c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  <c r="N457" s="294"/>
      <c r="O457" s="294"/>
      <c r="P457" s="294"/>
      <c r="Q457" s="294"/>
      <c r="R457" s="294"/>
      <c r="S457" s="294"/>
      <c r="T457" s="307"/>
    </row>
    <row r="458" spans="1:20" ht="15" customHeight="1" x14ac:dyDescent="0.25">
      <c r="A458" s="293" t="s">
        <v>204</v>
      </c>
      <c r="B458" s="294"/>
      <c r="C458" s="294"/>
      <c r="D458" s="294"/>
      <c r="E458" s="294"/>
      <c r="F458" s="294"/>
      <c r="G458" s="294"/>
      <c r="H458" s="294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307"/>
    </row>
    <row r="459" spans="1:20" ht="15" customHeight="1" x14ac:dyDescent="0.25">
      <c r="A459" s="285" t="s">
        <v>18</v>
      </c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308"/>
    </row>
    <row r="460" spans="1:20" ht="15" customHeight="1" x14ac:dyDescent="0.25">
      <c r="A460" s="287" t="s">
        <v>19</v>
      </c>
      <c r="B460" s="296"/>
      <c r="C460" s="296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309"/>
    </row>
    <row r="461" spans="1:20" ht="15" customHeight="1" x14ac:dyDescent="0.25">
      <c r="A461" s="22" t="s">
        <v>188</v>
      </c>
      <c r="B461" s="36" t="s">
        <v>172</v>
      </c>
      <c r="C461" s="16">
        <v>250</v>
      </c>
      <c r="D461" s="56">
        <v>3.9</v>
      </c>
      <c r="E461" s="56">
        <v>15.8</v>
      </c>
      <c r="F461" s="56">
        <f>22.33/250*C461</f>
        <v>22.33</v>
      </c>
      <c r="G461" s="56">
        <v>267.3</v>
      </c>
      <c r="H461" s="56">
        <f>0.07/250*C461</f>
        <v>7.0000000000000007E-2</v>
      </c>
      <c r="I461" s="56">
        <f>0.22/250*C461</f>
        <v>0.22</v>
      </c>
      <c r="J461" s="56">
        <f>29.75/250*C461</f>
        <v>29.75</v>
      </c>
      <c r="K461" s="56">
        <f>0.03/250*C461</f>
        <v>0.03</v>
      </c>
      <c r="L461" s="56">
        <f>0.91/250*C461</f>
        <v>0.91</v>
      </c>
      <c r="M461" s="56">
        <f>233.25/250*C461</f>
        <v>233.25</v>
      </c>
      <c r="N461" s="7">
        <f>189.5/250*C461</f>
        <v>189.5</v>
      </c>
      <c r="O461" s="7">
        <f>24.25/250*C461</f>
        <v>24.25</v>
      </c>
      <c r="P461" s="7">
        <f>153/250*C461</f>
        <v>153</v>
      </c>
      <c r="Q461" s="7">
        <f>0.44/250*C461</f>
        <v>0.44</v>
      </c>
      <c r="R461" s="7">
        <f>26/250*C461</f>
        <v>26</v>
      </c>
      <c r="S461" s="128">
        <f>3/250*C461</f>
        <v>3</v>
      </c>
      <c r="T461" s="7">
        <f>39.75/250*C461</f>
        <v>39.75</v>
      </c>
    </row>
    <row r="462" spans="1:20" ht="15" customHeight="1" x14ac:dyDescent="0.25">
      <c r="A462" s="8" t="s">
        <v>140</v>
      </c>
      <c r="B462" s="32" t="s">
        <v>20</v>
      </c>
      <c r="C462" s="9">
        <v>200</v>
      </c>
      <c r="D462" s="10">
        <f>0.2/200*C462</f>
        <v>0.2</v>
      </c>
      <c r="E462" s="10">
        <v>0</v>
      </c>
      <c r="F462" s="10">
        <f>6.5/200*C462</f>
        <v>6.5</v>
      </c>
      <c r="G462" s="10">
        <v>56.8</v>
      </c>
      <c r="H462" s="10">
        <v>0</v>
      </c>
      <c r="I462" s="10">
        <f>0.01/200*C462</f>
        <v>0.01</v>
      </c>
      <c r="J462" s="10">
        <f>0.3/200*C462</f>
        <v>0.3</v>
      </c>
      <c r="K462" s="10">
        <v>0</v>
      </c>
      <c r="L462" s="10">
        <f>0.04/200*C462</f>
        <v>0.04</v>
      </c>
      <c r="M462" s="11">
        <f>20.8/200*C462</f>
        <v>20.8</v>
      </c>
      <c r="N462" s="12">
        <f>4.5/200*C462</f>
        <v>4.5</v>
      </c>
      <c r="O462" s="12">
        <f>3.8/200*C462</f>
        <v>3.8</v>
      </c>
      <c r="P462" s="12">
        <f>7.2/200*C462</f>
        <v>7.2000000000000011</v>
      </c>
      <c r="Q462" s="12">
        <f>0.73/200*C462</f>
        <v>0.73</v>
      </c>
      <c r="R462" s="12">
        <v>0</v>
      </c>
      <c r="S462" s="157">
        <v>0</v>
      </c>
      <c r="T462" s="12">
        <v>0</v>
      </c>
    </row>
    <row r="463" spans="1:20" ht="15" customHeight="1" x14ac:dyDescent="0.25">
      <c r="A463" s="4" t="s">
        <v>191</v>
      </c>
      <c r="B463" s="35" t="s">
        <v>21</v>
      </c>
      <c r="C463" s="6">
        <v>10</v>
      </c>
      <c r="D463" s="61">
        <f>10/10*C463</f>
        <v>10</v>
      </c>
      <c r="E463" s="61">
        <f>0.1/10*C463</f>
        <v>0.1</v>
      </c>
      <c r="F463" s="61">
        <f>7.2/10*C463</f>
        <v>7.1999999999999993</v>
      </c>
      <c r="G463" s="61">
        <f>1/10*C463</f>
        <v>1</v>
      </c>
      <c r="H463" s="61">
        <f>66.1/10*C463</f>
        <v>66.099999999999994</v>
      </c>
      <c r="I463" s="140">
        <f>0.01/10*C463</f>
        <v>0.01</v>
      </c>
      <c r="J463" s="61">
        <f>45/10*C463</f>
        <v>45</v>
      </c>
      <c r="K463" s="61">
        <f>0.13/10*C463</f>
        <v>0.13</v>
      </c>
      <c r="L463" s="61">
        <v>0</v>
      </c>
      <c r="M463" s="61">
        <f>3/10*C463</f>
        <v>3</v>
      </c>
      <c r="N463" s="61">
        <f>2.4/10*C463</f>
        <v>2.4</v>
      </c>
      <c r="O463" s="61">
        <v>0</v>
      </c>
      <c r="P463" s="61">
        <f>3/10*C463</f>
        <v>3</v>
      </c>
      <c r="Q463" s="61">
        <f>0.02/10*C463</f>
        <v>0.02</v>
      </c>
      <c r="R463" s="61">
        <v>0</v>
      </c>
      <c r="S463" s="133">
        <f>0.1/10*C463</f>
        <v>0.1</v>
      </c>
      <c r="T463" s="61">
        <f>0.3/10*C463</f>
        <v>0.3</v>
      </c>
    </row>
    <row r="464" spans="1:20" ht="15" customHeight="1" x14ac:dyDescent="0.25">
      <c r="A464" s="14" t="s">
        <v>124</v>
      </c>
      <c r="B464" s="35" t="s">
        <v>23</v>
      </c>
      <c r="C464" s="6">
        <v>25</v>
      </c>
      <c r="D464" s="10">
        <f>1.5/25*C464</f>
        <v>1.5</v>
      </c>
      <c r="E464" s="10">
        <f>0.5/25*C464</f>
        <v>0.5</v>
      </c>
      <c r="F464" s="10">
        <f>10.2/25*C464</f>
        <v>10.199999999999999</v>
      </c>
      <c r="G464" s="10">
        <f>52/25*C464</f>
        <v>52</v>
      </c>
      <c r="H464" s="10">
        <f>0.1/25*C464</f>
        <v>0.1</v>
      </c>
      <c r="I464" s="10">
        <f>0.08/25*C464</f>
        <v>0.08</v>
      </c>
      <c r="J464" s="10">
        <v>0</v>
      </c>
      <c r="K464" s="10">
        <v>0</v>
      </c>
      <c r="L464" s="10">
        <f>0.1/25*C464</f>
        <v>0.1</v>
      </c>
      <c r="M464" s="10">
        <f>41.5/25*C464</f>
        <v>41.5</v>
      </c>
      <c r="N464" s="10">
        <f>19.75/25*C464</f>
        <v>19.75</v>
      </c>
      <c r="O464" s="10">
        <f>10/25*C464</f>
        <v>10</v>
      </c>
      <c r="P464" s="10">
        <f>31.25/25*C464</f>
        <v>31.25</v>
      </c>
      <c r="Q464" s="10">
        <f>10/25*C464</f>
        <v>10</v>
      </c>
      <c r="R464" s="10">
        <f>0.7/25*C464</f>
        <v>0.7</v>
      </c>
      <c r="S464" s="172">
        <f>7.73/25*C464</f>
        <v>7.73</v>
      </c>
      <c r="T464" s="10">
        <f>12.75/25*C464</f>
        <v>12.75</v>
      </c>
    </row>
    <row r="465" spans="1:20" ht="15" customHeight="1" x14ac:dyDescent="0.25">
      <c r="A465" s="15" t="s">
        <v>124</v>
      </c>
      <c r="B465" s="32" t="s">
        <v>24</v>
      </c>
      <c r="C465" s="16">
        <v>45</v>
      </c>
      <c r="D465" s="25">
        <f>3.4/45*C465</f>
        <v>3.4</v>
      </c>
      <c r="E465" s="25">
        <f>0.4/45*C465</f>
        <v>0.4</v>
      </c>
      <c r="F465" s="25">
        <f>22.1/45*C465</f>
        <v>22.1</v>
      </c>
      <c r="G465" s="25">
        <f>105.8/45*C465</f>
        <v>105.8</v>
      </c>
      <c r="H465" s="25">
        <f>0.05/45*C465</f>
        <v>0.05</v>
      </c>
      <c r="I465" s="25">
        <f>0.01/45*C465</f>
        <v>0.01</v>
      </c>
      <c r="J465" s="25">
        <v>0</v>
      </c>
      <c r="K465" s="25">
        <v>0</v>
      </c>
      <c r="L465" s="25">
        <v>0</v>
      </c>
      <c r="M465" s="25">
        <f>46.5/45*C465</f>
        <v>46.500000000000007</v>
      </c>
      <c r="N465" s="27">
        <f>10/45*C465</f>
        <v>10</v>
      </c>
      <c r="O465" s="27">
        <f>7/45*C465</f>
        <v>7</v>
      </c>
      <c r="P465" s="27">
        <f>32.5/45*C465</f>
        <v>32.5</v>
      </c>
      <c r="Q465" s="27">
        <f>1.6/45*C465</f>
        <v>1.6</v>
      </c>
      <c r="R465" s="27">
        <f>0.55/45*C465</f>
        <v>0.55000000000000004</v>
      </c>
      <c r="S465" s="166">
        <f>3/45*C465</f>
        <v>3</v>
      </c>
      <c r="T465" s="27">
        <f>7.5/45*C465</f>
        <v>7.5</v>
      </c>
    </row>
    <row r="466" spans="1:20" ht="15" customHeight="1" x14ac:dyDescent="0.25">
      <c r="A466" s="15"/>
      <c r="B466" s="4"/>
      <c r="C466" s="16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2"/>
      <c r="O466" s="12"/>
      <c r="P466" s="12"/>
      <c r="Q466" s="12"/>
      <c r="R466" s="12"/>
      <c r="S466" s="157"/>
      <c r="T466" s="12"/>
    </row>
    <row r="467" spans="1:20" ht="15" customHeight="1" x14ac:dyDescent="0.25">
      <c r="A467" s="17"/>
      <c r="B467" s="6" t="s">
        <v>25</v>
      </c>
      <c r="C467" s="17">
        <f t="shared" ref="C467:T467" si="64">SUM(C461:C465)</f>
        <v>530</v>
      </c>
      <c r="D467" s="82">
        <f t="shared" si="64"/>
        <v>19</v>
      </c>
      <c r="E467" s="82">
        <f t="shared" si="64"/>
        <v>16.799999999999997</v>
      </c>
      <c r="F467" s="82">
        <f t="shared" si="64"/>
        <v>68.330000000000013</v>
      </c>
      <c r="G467" s="82">
        <f t="shared" si="64"/>
        <v>482.90000000000003</v>
      </c>
      <c r="H467" s="82">
        <f t="shared" si="64"/>
        <v>66.319999999999979</v>
      </c>
      <c r="I467" s="82">
        <f t="shared" si="64"/>
        <v>0.33</v>
      </c>
      <c r="J467" s="82">
        <f t="shared" si="64"/>
        <v>75.05</v>
      </c>
      <c r="K467" s="82">
        <f t="shared" si="64"/>
        <v>0.16</v>
      </c>
      <c r="L467" s="82">
        <f t="shared" si="64"/>
        <v>1.05</v>
      </c>
      <c r="M467" s="82">
        <f t="shared" si="64"/>
        <v>345.05</v>
      </c>
      <c r="N467" s="82">
        <f t="shared" si="64"/>
        <v>226.15</v>
      </c>
      <c r="O467" s="83">
        <f t="shared" si="64"/>
        <v>45.05</v>
      </c>
      <c r="P467" s="83">
        <f t="shared" si="64"/>
        <v>226.95</v>
      </c>
      <c r="Q467" s="83">
        <f t="shared" si="64"/>
        <v>12.79</v>
      </c>
      <c r="R467" s="83">
        <f t="shared" si="64"/>
        <v>27.25</v>
      </c>
      <c r="S467" s="158">
        <f t="shared" si="64"/>
        <v>13.83</v>
      </c>
      <c r="T467" s="83">
        <f t="shared" si="64"/>
        <v>60.3</v>
      </c>
    </row>
    <row r="468" spans="1:20" ht="15" customHeight="1" x14ac:dyDescent="0.25">
      <c r="A468" s="289" t="s">
        <v>26</v>
      </c>
      <c r="B468" s="297"/>
      <c r="C468" s="297"/>
      <c r="D468" s="297"/>
      <c r="E468" s="297"/>
      <c r="F468" s="297"/>
      <c r="G468" s="297"/>
      <c r="H468" s="312"/>
      <c r="I468" s="312"/>
      <c r="J468" s="312"/>
      <c r="K468" s="312"/>
      <c r="L468" s="312"/>
      <c r="M468" s="313"/>
      <c r="N468" s="313"/>
      <c r="O468" s="313"/>
      <c r="P468" s="313"/>
      <c r="Q468" s="313"/>
      <c r="R468" s="313"/>
      <c r="S468" s="313"/>
      <c r="T468" s="314"/>
    </row>
    <row r="469" spans="1:20" ht="15" customHeight="1" x14ac:dyDescent="0.25">
      <c r="A469" s="8" t="s">
        <v>136</v>
      </c>
      <c r="B469" s="32" t="s">
        <v>74</v>
      </c>
      <c r="C469" s="9">
        <v>100</v>
      </c>
      <c r="D469" s="10">
        <f>0.6/60*C469</f>
        <v>1</v>
      </c>
      <c r="E469" s="10">
        <f>5.3/60*C469</f>
        <v>8.8333333333333339</v>
      </c>
      <c r="F469" s="10">
        <f>4.1/60*C469</f>
        <v>6.833333333333333</v>
      </c>
      <c r="G469" s="10">
        <f>67.1/60*C469</f>
        <v>111.83333333333331</v>
      </c>
      <c r="H469" s="222">
        <f>0.01/60*C469</f>
        <v>1.6666666666666666E-2</v>
      </c>
      <c r="I469" s="222">
        <f>0.01/60*C469</f>
        <v>1.6666666666666666E-2</v>
      </c>
      <c r="J469" s="222">
        <f>72.9/60*C469</f>
        <v>121.50000000000001</v>
      </c>
      <c r="K469" s="222">
        <v>0</v>
      </c>
      <c r="L469" s="222">
        <f>2.26/60*C469</f>
        <v>3.7666666666666662</v>
      </c>
      <c r="M469" s="222">
        <f>128/60*C469</f>
        <v>213.33333333333334</v>
      </c>
      <c r="N469" s="222">
        <f>12/60*C469</f>
        <v>20</v>
      </c>
      <c r="O469" s="222">
        <f>9.7/60*C469</f>
        <v>16.166666666666664</v>
      </c>
      <c r="P469" s="223">
        <f>21/60*C469</f>
        <v>35</v>
      </c>
      <c r="Q469" s="224">
        <f>0.4/60*C469</f>
        <v>0.66666666666666674</v>
      </c>
      <c r="R469" s="222">
        <f>7.9/60*C469</f>
        <v>13.166666666666668</v>
      </c>
      <c r="S469" s="225">
        <f>0.14/60*C469</f>
        <v>0.23333333333333336</v>
      </c>
      <c r="T469" s="25">
        <f>12/60*C469</f>
        <v>20</v>
      </c>
    </row>
    <row r="470" spans="1:20" ht="15" customHeight="1" x14ac:dyDescent="0.25">
      <c r="A470" s="49" t="s">
        <v>161</v>
      </c>
      <c r="B470" s="5" t="s">
        <v>162</v>
      </c>
      <c r="C470" s="50">
        <v>200</v>
      </c>
      <c r="D470" s="21">
        <v>3.5</v>
      </c>
      <c r="E470" s="21">
        <f>1.8/200*C470</f>
        <v>1.8000000000000003</v>
      </c>
      <c r="F470" s="21">
        <v>12.6</v>
      </c>
      <c r="G470" s="21">
        <f>66.4/200*C470</f>
        <v>66.400000000000006</v>
      </c>
      <c r="H470" s="21">
        <f>0.08/200*C470</f>
        <v>0.08</v>
      </c>
      <c r="I470" s="21">
        <f>0.16/200*C470</f>
        <v>0.16</v>
      </c>
      <c r="J470" s="21">
        <f>4.2/200*C470</f>
        <v>4.2</v>
      </c>
      <c r="K470" s="21">
        <v>0</v>
      </c>
      <c r="L470" s="21">
        <f>7.92/200*C470</f>
        <v>7.919999999999999</v>
      </c>
      <c r="M470" s="21">
        <f>505/200*C470</f>
        <v>505</v>
      </c>
      <c r="N470" s="21">
        <f>23/200*C470</f>
        <v>23</v>
      </c>
      <c r="O470" s="21">
        <f>22/200*C470</f>
        <v>22</v>
      </c>
      <c r="P470" s="21">
        <f>73.2/200*C470</f>
        <v>73.2</v>
      </c>
      <c r="Q470" s="21">
        <f>2.6/200*C470</f>
        <v>2.6</v>
      </c>
      <c r="R470" s="21">
        <f>1.02/200*C470</f>
        <v>1.02</v>
      </c>
      <c r="S470" s="89">
        <f>2.04/200*C470</f>
        <v>2.04</v>
      </c>
      <c r="T470" s="21">
        <v>0</v>
      </c>
    </row>
    <row r="471" spans="1:20" ht="15" customHeight="1" x14ac:dyDescent="0.25">
      <c r="A471" s="270" t="s">
        <v>139</v>
      </c>
      <c r="B471" s="153" t="s">
        <v>64</v>
      </c>
      <c r="C471" s="53">
        <v>150</v>
      </c>
      <c r="D471" s="56">
        <v>15.29</v>
      </c>
      <c r="E471" s="56">
        <f>8.1/200*C471</f>
        <v>6.0750000000000002</v>
      </c>
      <c r="F471" s="56">
        <v>34.9</v>
      </c>
      <c r="G471" s="56">
        <f>314.6/200*C471</f>
        <v>235.95000000000002</v>
      </c>
      <c r="H471" s="116">
        <f>0.08/200*C471</f>
        <v>6.0000000000000005E-2</v>
      </c>
      <c r="I471" s="116">
        <f>0.08/200*C471</f>
        <v>6.0000000000000005E-2</v>
      </c>
      <c r="J471" s="116">
        <f>147/200*C471</f>
        <v>110.25</v>
      </c>
      <c r="K471" s="116">
        <v>0</v>
      </c>
      <c r="L471" s="116">
        <f>2.36/200*C471</f>
        <v>1.77</v>
      </c>
      <c r="M471" s="116">
        <f>383/200*C471</f>
        <v>287.25</v>
      </c>
      <c r="N471" s="117">
        <f>20/200*C471</f>
        <v>15</v>
      </c>
      <c r="O471" s="117">
        <f>108/200*C471</f>
        <v>81</v>
      </c>
      <c r="P471" s="117">
        <f>234/200*C471</f>
        <v>175.5</v>
      </c>
      <c r="Q471" s="117">
        <f>2.02/200*C471</f>
        <v>1.5149999999999999</v>
      </c>
      <c r="R471" s="117">
        <f>40/200*C471</f>
        <v>30</v>
      </c>
      <c r="S471" s="164">
        <f>27.5/200*C471</f>
        <v>20.625</v>
      </c>
      <c r="T471" s="7">
        <f>169/200*C471</f>
        <v>126.75</v>
      </c>
    </row>
    <row r="472" spans="1:20" ht="15" customHeight="1" x14ac:dyDescent="0.25">
      <c r="A472" s="131" t="s">
        <v>131</v>
      </c>
      <c r="B472" s="97" t="s">
        <v>41</v>
      </c>
      <c r="C472" s="41">
        <v>50</v>
      </c>
      <c r="D472" s="42">
        <f>0.54/30*C472</f>
        <v>0.90000000000000013</v>
      </c>
      <c r="E472" s="42">
        <f>3.67/30*C472</f>
        <v>6.1166666666666671</v>
      </c>
      <c r="F472" s="42">
        <f>5.24/30*C472</f>
        <v>8.7333333333333325</v>
      </c>
      <c r="G472" s="42">
        <f>56.16/30*C472</f>
        <v>93.6</v>
      </c>
      <c r="H472" s="42">
        <f>0.01/30*C472</f>
        <v>1.6666666666666666E-2</v>
      </c>
      <c r="I472" s="42">
        <v>0</v>
      </c>
      <c r="J472" s="42">
        <v>0</v>
      </c>
      <c r="K472" s="42">
        <f>0.23/30*C472</f>
        <v>0.38333333333333336</v>
      </c>
      <c r="L472" s="42">
        <f>1.68/30*C472</f>
        <v>2.8000000000000003</v>
      </c>
      <c r="M472" s="42">
        <f>2/30*C472</f>
        <v>3.3333333333333335</v>
      </c>
      <c r="N472" s="42">
        <f>5/30*C472</f>
        <v>8.3333333333333321</v>
      </c>
      <c r="O472" s="42">
        <v>0</v>
      </c>
      <c r="P472" s="42">
        <f>23.6/30*C472</f>
        <v>39.333333333333336</v>
      </c>
      <c r="Q472" s="42">
        <v>0</v>
      </c>
      <c r="R472" s="42">
        <f>0.01/30*C472</f>
        <v>1.6666666666666666E-2</v>
      </c>
      <c r="S472" s="165">
        <v>0</v>
      </c>
      <c r="T472" s="25">
        <f>0.04/30*C472</f>
        <v>6.6666666666666666E-2</v>
      </c>
    </row>
    <row r="473" spans="1:20" ht="15" customHeight="1" x14ac:dyDescent="0.25">
      <c r="A473" s="8" t="s">
        <v>170</v>
      </c>
      <c r="B473" s="32" t="s">
        <v>169</v>
      </c>
      <c r="C473" s="9">
        <v>200</v>
      </c>
      <c r="D473" s="10">
        <f>0.3/200*C473</f>
        <v>0.3</v>
      </c>
      <c r="E473" s="10">
        <v>0</v>
      </c>
      <c r="F473" s="10">
        <f>6.7/200*C473</f>
        <v>6.7</v>
      </c>
      <c r="G473" s="10">
        <f>27.9/200*C473</f>
        <v>27.9</v>
      </c>
      <c r="H473" s="10">
        <v>0</v>
      </c>
      <c r="I473" s="10">
        <f>0.04/200*C473</f>
        <v>0.04</v>
      </c>
      <c r="J473" s="10">
        <f>0.38/200*C473</f>
        <v>0.38</v>
      </c>
      <c r="K473" s="10">
        <v>0</v>
      </c>
      <c r="L473" s="10">
        <f>1.16/200*C473</f>
        <v>1.1599999999999999</v>
      </c>
      <c r="M473" s="11">
        <f>30.2/200*C473</f>
        <v>30.2</v>
      </c>
      <c r="N473" s="12">
        <f>6.9/200*C473</f>
        <v>6.9</v>
      </c>
      <c r="O473" s="12">
        <f>4.6/200*C473</f>
        <v>4.5999999999999996</v>
      </c>
      <c r="P473" s="12">
        <f>8.5/200*C473</f>
        <v>8.5</v>
      </c>
      <c r="Q473" s="12">
        <f>0.77/200*C473</f>
        <v>0.77</v>
      </c>
      <c r="R473" s="12">
        <v>0</v>
      </c>
      <c r="S473" s="157">
        <f>0.02/200*C473</f>
        <v>0.02</v>
      </c>
      <c r="T473" s="12">
        <f>0.7/200*C473</f>
        <v>0.7</v>
      </c>
    </row>
    <row r="474" spans="1:20" ht="15" customHeight="1" x14ac:dyDescent="0.25">
      <c r="A474" s="95" t="s">
        <v>124</v>
      </c>
      <c r="B474" s="35" t="s">
        <v>23</v>
      </c>
      <c r="C474" s="6">
        <v>60</v>
      </c>
      <c r="D474" s="10">
        <f>1.5/25*C474</f>
        <v>3.5999999999999996</v>
      </c>
      <c r="E474" s="10">
        <f>0.5/25*C474</f>
        <v>1.2</v>
      </c>
      <c r="F474" s="10">
        <f>10.2/25*C474</f>
        <v>24.479999999999997</v>
      </c>
      <c r="G474" s="10">
        <f>52/25*C474</f>
        <v>124.80000000000001</v>
      </c>
      <c r="H474" s="10">
        <f>0.1/25*C474</f>
        <v>0.24</v>
      </c>
      <c r="I474" s="10">
        <f>0.08/25*C474</f>
        <v>0.192</v>
      </c>
      <c r="J474" s="10">
        <v>0</v>
      </c>
      <c r="K474" s="10">
        <v>0</v>
      </c>
      <c r="L474" s="10">
        <f>0.1/25*C474</f>
        <v>0.24</v>
      </c>
      <c r="M474" s="10">
        <f>41.5/25*C474</f>
        <v>99.6</v>
      </c>
      <c r="N474" s="10">
        <f>19.75/25*C474</f>
        <v>47.400000000000006</v>
      </c>
      <c r="O474" s="10">
        <f>10/25*C474</f>
        <v>24</v>
      </c>
      <c r="P474" s="10">
        <f>31.25/25*C474</f>
        <v>75</v>
      </c>
      <c r="Q474" s="10">
        <f>10/25*C474</f>
        <v>24</v>
      </c>
      <c r="R474" s="10">
        <f>0.7/25*C474</f>
        <v>1.6799999999999997</v>
      </c>
      <c r="S474" s="172">
        <f>7.73/25*C474</f>
        <v>18.552000000000003</v>
      </c>
      <c r="T474" s="10">
        <f>12.75/25*C474</f>
        <v>30.6</v>
      </c>
    </row>
    <row r="475" spans="1:20" ht="15" customHeight="1" x14ac:dyDescent="0.25">
      <c r="A475" s="95" t="s">
        <v>124</v>
      </c>
      <c r="B475" s="32" t="s">
        <v>24</v>
      </c>
      <c r="C475" s="16">
        <v>30</v>
      </c>
      <c r="D475" s="25">
        <f>3.4/45*C475</f>
        <v>2.2666666666666666</v>
      </c>
      <c r="E475" s="25">
        <f>0.4/45*C475</f>
        <v>0.26666666666666666</v>
      </c>
      <c r="F475" s="25">
        <f>22.1/45*C475</f>
        <v>14.733333333333334</v>
      </c>
      <c r="G475" s="25">
        <f>105.8/45*C475</f>
        <v>70.533333333333331</v>
      </c>
      <c r="H475" s="25">
        <f>0.05/45*C475</f>
        <v>3.3333333333333333E-2</v>
      </c>
      <c r="I475" s="25">
        <f>0.01/45*C475</f>
        <v>6.6666666666666671E-3</v>
      </c>
      <c r="J475" s="25">
        <v>0</v>
      </c>
      <c r="K475" s="25">
        <v>0</v>
      </c>
      <c r="L475" s="25">
        <v>0</v>
      </c>
      <c r="M475" s="25">
        <f>46.5/45*C475</f>
        <v>31.000000000000004</v>
      </c>
      <c r="N475" s="27">
        <f>10/45*C475</f>
        <v>6.6666666666666661</v>
      </c>
      <c r="O475" s="27">
        <f>7/45*C475</f>
        <v>4.666666666666667</v>
      </c>
      <c r="P475" s="27">
        <f>32.5/45*C475</f>
        <v>21.666666666666668</v>
      </c>
      <c r="Q475" s="27">
        <f>1.6/45*C475</f>
        <v>1.0666666666666667</v>
      </c>
      <c r="R475" s="27">
        <f>0.55/45*C475</f>
        <v>0.3666666666666667</v>
      </c>
      <c r="S475" s="166">
        <f>3/45*C475</f>
        <v>2</v>
      </c>
      <c r="T475" s="27">
        <f>7.5/45*C475</f>
        <v>5</v>
      </c>
    </row>
    <row r="476" spans="1:20" ht="15" customHeight="1" x14ac:dyDescent="0.25">
      <c r="A476" s="95"/>
      <c r="B476" s="211"/>
      <c r="C476" s="212"/>
      <c r="D476" s="103"/>
      <c r="E476" s="103"/>
      <c r="F476" s="103"/>
      <c r="G476" s="103"/>
      <c r="H476" s="155"/>
      <c r="I476" s="106"/>
      <c r="J476" s="106"/>
      <c r="K476" s="11"/>
      <c r="L476" s="11"/>
      <c r="M476" s="11"/>
      <c r="N476" s="12"/>
      <c r="O476" s="12"/>
      <c r="P476" s="12"/>
      <c r="Q476" s="12"/>
      <c r="R476" s="12"/>
      <c r="S476" s="157"/>
      <c r="T476" s="12"/>
    </row>
    <row r="477" spans="1:20" ht="15" customHeight="1" x14ac:dyDescent="0.25">
      <c r="A477" s="4"/>
      <c r="B477" s="71" t="s">
        <v>29</v>
      </c>
      <c r="C477" s="98">
        <f t="shared" ref="C477:T477" si="65">SUM(C469:C475)</f>
        <v>790</v>
      </c>
      <c r="D477" s="75">
        <f t="shared" si="65"/>
        <v>26.856666666666662</v>
      </c>
      <c r="E477" s="71">
        <f t="shared" si="65"/>
        <v>24.291666666666668</v>
      </c>
      <c r="F477" s="71">
        <f t="shared" si="65"/>
        <v>108.98</v>
      </c>
      <c r="G477" s="71">
        <f t="shared" si="65"/>
        <v>731.01666666666665</v>
      </c>
      <c r="H477" s="71">
        <f t="shared" si="65"/>
        <v>0.44666666666666666</v>
      </c>
      <c r="I477" s="71">
        <f t="shared" si="65"/>
        <v>0.47533333333333333</v>
      </c>
      <c r="J477" s="71">
        <f t="shared" si="65"/>
        <v>236.33</v>
      </c>
      <c r="K477" s="71">
        <f t="shared" si="65"/>
        <v>0.38333333333333336</v>
      </c>
      <c r="L477" s="71">
        <f t="shared" si="65"/>
        <v>17.656666666666663</v>
      </c>
      <c r="M477" s="71">
        <f t="shared" si="65"/>
        <v>1169.7166666666667</v>
      </c>
      <c r="N477" s="71">
        <f t="shared" si="65"/>
        <v>127.30000000000001</v>
      </c>
      <c r="O477" s="71">
        <f t="shared" si="65"/>
        <v>152.43333333333331</v>
      </c>
      <c r="P477" s="71">
        <f t="shared" si="65"/>
        <v>428.2</v>
      </c>
      <c r="Q477" s="71">
        <f t="shared" si="65"/>
        <v>30.618333333333332</v>
      </c>
      <c r="R477" s="71">
        <f t="shared" si="65"/>
        <v>46.25</v>
      </c>
      <c r="S477" s="71">
        <f t="shared" si="65"/>
        <v>43.470333333333336</v>
      </c>
      <c r="T477" s="71">
        <f t="shared" si="65"/>
        <v>183.11666666666665</v>
      </c>
    </row>
    <row r="478" spans="1:20" ht="15" customHeight="1" x14ac:dyDescent="0.25">
      <c r="A478" s="298" t="s">
        <v>30</v>
      </c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315"/>
    </row>
    <row r="479" spans="1:20" ht="15" customHeight="1" x14ac:dyDescent="0.25">
      <c r="A479" s="4" t="s">
        <v>148</v>
      </c>
      <c r="B479" s="32" t="s">
        <v>66</v>
      </c>
      <c r="C479" s="28">
        <v>150</v>
      </c>
      <c r="D479" s="56">
        <v>8.3000000000000007</v>
      </c>
      <c r="E479" s="56">
        <v>8.6999999999999993</v>
      </c>
      <c r="F479" s="56">
        <f>21.7/150*C479</f>
        <v>21.7</v>
      </c>
      <c r="G479" s="56">
        <v>284.36</v>
      </c>
      <c r="H479" s="56">
        <f>0.06/150*C479</f>
        <v>0.06</v>
      </c>
      <c r="I479" s="56">
        <f>0.3/150*C479</f>
        <v>0.3</v>
      </c>
      <c r="J479" s="56">
        <f>51.1/150*C479</f>
        <v>51.1</v>
      </c>
      <c r="K479" s="56">
        <f>0.16/150*C479</f>
        <v>0.16</v>
      </c>
      <c r="L479" s="56">
        <f>0.29/150*C479</f>
        <v>0.28999999999999998</v>
      </c>
      <c r="M479" s="129">
        <f>159/150*C479</f>
        <v>159</v>
      </c>
      <c r="N479" s="129">
        <f>224/150*C479</f>
        <v>224</v>
      </c>
      <c r="O479" s="129">
        <f>32/150*C479</f>
        <v>32</v>
      </c>
      <c r="P479" s="7">
        <f>291/150*C479</f>
        <v>291</v>
      </c>
      <c r="Q479" s="7">
        <f>0.86/150*C479</f>
        <v>0.86</v>
      </c>
      <c r="R479" s="7">
        <f>29/150*C479</f>
        <v>29</v>
      </c>
      <c r="S479" s="128">
        <f>39/150*C479</f>
        <v>39</v>
      </c>
      <c r="T479" s="7">
        <f>50/150*C479</f>
        <v>50</v>
      </c>
    </row>
    <row r="480" spans="1:20" ht="15" customHeight="1" x14ac:dyDescent="0.25">
      <c r="A480" s="8" t="s">
        <v>150</v>
      </c>
      <c r="B480" s="32" t="s">
        <v>36</v>
      </c>
      <c r="C480" s="9">
        <v>150</v>
      </c>
      <c r="D480" s="10">
        <f>3.8/200*C480</f>
        <v>2.85</v>
      </c>
      <c r="E480" s="10">
        <f>2.9/200*C480</f>
        <v>2.1749999999999998</v>
      </c>
      <c r="F480" s="10">
        <f>11.3/200*C480</f>
        <v>8.4749999999999996</v>
      </c>
      <c r="G480" s="10">
        <f>86/200*C480</f>
        <v>64.5</v>
      </c>
      <c r="H480" s="10">
        <f>0.03/200*C480</f>
        <v>2.2499999999999999E-2</v>
      </c>
      <c r="I480" s="10">
        <f>0.13/200*C480</f>
        <v>9.7499999999999989E-2</v>
      </c>
      <c r="J480" s="10">
        <f>13.3/200*C480</f>
        <v>9.9750000000000014</v>
      </c>
      <c r="K480" s="10">
        <v>0</v>
      </c>
      <c r="L480" s="10">
        <f>0.52/200*C480</f>
        <v>0.38999999999999996</v>
      </c>
      <c r="M480" s="11">
        <f>184/200*C480</f>
        <v>138</v>
      </c>
      <c r="N480" s="12">
        <f>111/200*C480</f>
        <v>83.250000000000014</v>
      </c>
      <c r="O480" s="12">
        <f>31/200*C480</f>
        <v>23.25</v>
      </c>
      <c r="P480" s="12">
        <f>107/200*C480</f>
        <v>80.25</v>
      </c>
      <c r="Q480" s="12">
        <f>1.07/200*C480</f>
        <v>0.8025000000000001</v>
      </c>
      <c r="R480" s="12">
        <f>9/200*C480</f>
        <v>6.75</v>
      </c>
      <c r="S480" s="157">
        <f>1.76/200*C480</f>
        <v>1.32</v>
      </c>
      <c r="T480" s="12">
        <f>20/200*C480</f>
        <v>15</v>
      </c>
    </row>
    <row r="481" spans="1:20" ht="15" customHeight="1" x14ac:dyDescent="0.25">
      <c r="A481" s="4"/>
      <c r="B481" s="4"/>
      <c r="C481" s="29"/>
      <c r="D481" s="30"/>
      <c r="E481" s="30"/>
      <c r="F481" s="30"/>
      <c r="G481" s="30"/>
      <c r="H481" s="30"/>
      <c r="I481" s="30"/>
      <c r="J481" s="31"/>
      <c r="K481" s="30"/>
      <c r="L481" s="30"/>
      <c r="M481" s="30"/>
      <c r="N481" s="30"/>
      <c r="O481" s="30"/>
      <c r="P481" s="30"/>
      <c r="Q481" s="30"/>
      <c r="R481" s="30"/>
      <c r="S481" s="161"/>
      <c r="T481" s="30"/>
    </row>
    <row r="482" spans="1:20" ht="15" customHeight="1" x14ac:dyDescent="0.25">
      <c r="A482" s="4"/>
      <c r="B482" s="28" t="s">
        <v>32</v>
      </c>
      <c r="C482" s="29">
        <f>SUM(C479:C480)</f>
        <v>300</v>
      </c>
      <c r="D482" s="30">
        <f>SUM(D479:D480)</f>
        <v>11.15</v>
      </c>
      <c r="E482" s="30">
        <f t="shared" ref="E482:Q482" si="66">SUM(E479:E480)</f>
        <v>10.875</v>
      </c>
      <c r="F482" s="30">
        <f t="shared" si="66"/>
        <v>30.174999999999997</v>
      </c>
      <c r="G482" s="30">
        <f t="shared" si="66"/>
        <v>348.86</v>
      </c>
      <c r="H482" s="30">
        <f t="shared" si="66"/>
        <v>8.249999999999999E-2</v>
      </c>
      <c r="I482" s="30">
        <f t="shared" si="66"/>
        <v>0.39749999999999996</v>
      </c>
      <c r="J482" s="30">
        <f t="shared" si="66"/>
        <v>61.075000000000003</v>
      </c>
      <c r="K482" s="30">
        <f t="shared" si="66"/>
        <v>0.16</v>
      </c>
      <c r="L482" s="30">
        <f t="shared" si="66"/>
        <v>0.67999999999999994</v>
      </c>
      <c r="M482" s="30">
        <f t="shared" si="66"/>
        <v>297</v>
      </c>
      <c r="N482" s="30">
        <f t="shared" si="66"/>
        <v>307.25</v>
      </c>
      <c r="O482" s="30">
        <f t="shared" si="66"/>
        <v>55.25</v>
      </c>
      <c r="P482" s="30">
        <f t="shared" si="66"/>
        <v>371.25</v>
      </c>
      <c r="Q482" s="30">
        <f t="shared" si="66"/>
        <v>1.6625000000000001</v>
      </c>
      <c r="R482" s="30">
        <f>SUM(R479:R480)</f>
        <v>35.75</v>
      </c>
      <c r="S482" s="161">
        <f>SUM(S479:S480)</f>
        <v>40.32</v>
      </c>
      <c r="T482" s="30">
        <f>SUM(T479:T480)</f>
        <v>65</v>
      </c>
    </row>
    <row r="483" spans="1:20" ht="15" customHeight="1" x14ac:dyDescent="0.25">
      <c r="A483" s="4"/>
      <c r="B483" s="28" t="s">
        <v>33</v>
      </c>
      <c r="C483" s="29">
        <f t="shared" ref="C483:Q483" si="67">C482+C477+C467</f>
        <v>1620</v>
      </c>
      <c r="D483" s="30">
        <f t="shared" si="67"/>
        <v>57.006666666666661</v>
      </c>
      <c r="E483" s="29">
        <f t="shared" si="67"/>
        <v>51.966666666666669</v>
      </c>
      <c r="F483" s="29">
        <f t="shared" si="67"/>
        <v>207.48500000000001</v>
      </c>
      <c r="G483" s="30">
        <f t="shared" si="67"/>
        <v>1562.7766666666666</v>
      </c>
      <c r="H483" s="29">
        <f t="shared" si="67"/>
        <v>66.849166666666648</v>
      </c>
      <c r="I483" s="30">
        <f t="shared" si="67"/>
        <v>1.2028333333333334</v>
      </c>
      <c r="J483" s="29">
        <f t="shared" si="67"/>
        <v>372.45500000000004</v>
      </c>
      <c r="K483" s="29">
        <f t="shared" si="67"/>
        <v>0.70333333333333337</v>
      </c>
      <c r="L483" s="29">
        <f t="shared" si="67"/>
        <v>19.386666666666663</v>
      </c>
      <c r="M483" s="29">
        <f t="shared" si="67"/>
        <v>1811.7666666666667</v>
      </c>
      <c r="N483" s="29">
        <f t="shared" si="67"/>
        <v>660.7</v>
      </c>
      <c r="O483" s="29">
        <f t="shared" si="67"/>
        <v>252.73333333333329</v>
      </c>
      <c r="P483" s="29">
        <f t="shared" si="67"/>
        <v>1026.4000000000001</v>
      </c>
      <c r="Q483" s="29">
        <f t="shared" si="67"/>
        <v>45.070833333333333</v>
      </c>
      <c r="R483" s="29">
        <f>R482+R477+R467</f>
        <v>109.25</v>
      </c>
      <c r="S483" s="162">
        <f>S482+S477+S467</f>
        <v>97.620333333333335</v>
      </c>
      <c r="T483" s="29">
        <f>T482+T477+T467</f>
        <v>308.41666666666663</v>
      </c>
    </row>
    <row r="484" spans="1:20" ht="15" customHeight="1" x14ac:dyDescent="0.25">
      <c r="A484" s="293" t="s">
        <v>195</v>
      </c>
      <c r="B484" s="294"/>
      <c r="C484" s="294"/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94"/>
      <c r="P484" s="294"/>
      <c r="Q484" s="294"/>
      <c r="R484" s="294"/>
      <c r="S484" s="294"/>
      <c r="T484" s="307"/>
    </row>
    <row r="485" spans="1:20" ht="15" customHeight="1" x14ac:dyDescent="0.25">
      <c r="A485" s="293" t="s">
        <v>205</v>
      </c>
      <c r="B485" s="294"/>
      <c r="C485" s="294"/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94"/>
      <c r="P485" s="294"/>
      <c r="Q485" s="294"/>
      <c r="R485" s="294"/>
      <c r="S485" s="294"/>
      <c r="T485" s="307"/>
    </row>
    <row r="486" spans="1:20" ht="15" customHeight="1" x14ac:dyDescent="0.25">
      <c r="A486" s="285" t="s">
        <v>18</v>
      </c>
      <c r="B486" s="286"/>
      <c r="C486" s="286"/>
      <c r="D486" s="286"/>
      <c r="E486" s="286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86"/>
      <c r="R486" s="286"/>
      <c r="S486" s="286"/>
      <c r="T486" s="308"/>
    </row>
    <row r="487" spans="1:20" ht="15" customHeight="1" x14ac:dyDescent="0.25">
      <c r="A487" s="287" t="s">
        <v>19</v>
      </c>
      <c r="B487" s="296"/>
      <c r="C487" s="296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309"/>
    </row>
    <row r="488" spans="1:20" ht="15" customHeight="1" x14ac:dyDescent="0.25">
      <c r="A488" s="4" t="s">
        <v>158</v>
      </c>
      <c r="B488" s="36" t="s">
        <v>72</v>
      </c>
      <c r="C488" s="16">
        <v>210</v>
      </c>
      <c r="D488" s="11">
        <f>5/200*C488</f>
        <v>5.25</v>
      </c>
      <c r="E488" s="11">
        <v>7</v>
      </c>
      <c r="F488" s="11">
        <v>24.1</v>
      </c>
      <c r="G488" s="11">
        <f>168.9/200*C488</f>
        <v>177.345</v>
      </c>
      <c r="H488" s="61">
        <f>0.78/200*C488</f>
        <v>0.81900000000000006</v>
      </c>
      <c r="I488" s="61">
        <f>0.12/200*C488</f>
        <v>0.126</v>
      </c>
      <c r="J488" s="61">
        <f>27.2/200*C488</f>
        <v>28.560000000000002</v>
      </c>
      <c r="K488" s="61">
        <f>0.07/200*C488</f>
        <v>7.350000000000001E-2</v>
      </c>
      <c r="L488" s="61">
        <f>0.53/200*C488</f>
        <v>0.55649999999999999</v>
      </c>
      <c r="M488" s="61">
        <f>157/200*C488</f>
        <v>164.85</v>
      </c>
      <c r="N488" s="61">
        <f>116/200*C488</f>
        <v>121.8</v>
      </c>
      <c r="O488" s="94">
        <f>27/200*C488</f>
        <v>28.35</v>
      </c>
      <c r="P488" s="93">
        <f>124/200*C488</f>
        <v>130.19999999999999</v>
      </c>
      <c r="Q488" s="93">
        <f>0.53/200*C488</f>
        <v>0.55649999999999999</v>
      </c>
      <c r="R488" s="61">
        <f>50/200*C488</f>
        <v>52.5</v>
      </c>
      <c r="S488" s="133">
        <f>4.09/200*C488</f>
        <v>4.2945000000000002</v>
      </c>
      <c r="T488" s="93">
        <f>31/200*C488</f>
        <v>32.549999999999997</v>
      </c>
    </row>
    <row r="489" spans="1:20" ht="15" customHeight="1" x14ac:dyDescent="0.25">
      <c r="A489" s="8" t="s">
        <v>134</v>
      </c>
      <c r="B489" s="32" t="s">
        <v>44</v>
      </c>
      <c r="C489" s="9">
        <v>200</v>
      </c>
      <c r="D489" s="10">
        <f>4.6/200*C489</f>
        <v>4.5999999999999996</v>
      </c>
      <c r="E489" s="10">
        <f>3.6/200*C489</f>
        <v>3.6000000000000005</v>
      </c>
      <c r="F489" s="10">
        <v>13</v>
      </c>
      <c r="G489" s="10">
        <f>100.4/200*C489</f>
        <v>100.4</v>
      </c>
      <c r="H489" s="10">
        <f>0.04/200*C489</f>
        <v>0.04</v>
      </c>
      <c r="I489" s="10">
        <f>0.17/200*C489</f>
        <v>0.17</v>
      </c>
      <c r="J489" s="10">
        <f>17.3/200*C489</f>
        <v>17.3</v>
      </c>
      <c r="K489" s="10">
        <v>0</v>
      </c>
      <c r="L489" s="10">
        <f>0.68/200*C489</f>
        <v>0.68</v>
      </c>
      <c r="M489" s="11">
        <f>220/200*C489</f>
        <v>220.00000000000003</v>
      </c>
      <c r="N489" s="12">
        <f>143/200*C489</f>
        <v>143</v>
      </c>
      <c r="O489" s="12">
        <f>34/200*C489</f>
        <v>34</v>
      </c>
      <c r="P489" s="12">
        <f>130/200*C489</f>
        <v>130</v>
      </c>
      <c r="Q489" s="12">
        <f>1.09/200*C489</f>
        <v>1.0900000000000001</v>
      </c>
      <c r="R489" s="12">
        <f>12/200*C489</f>
        <v>12</v>
      </c>
      <c r="S489" s="157">
        <f>2.29/200*C489</f>
        <v>2.29</v>
      </c>
      <c r="T489" s="12">
        <f>38/200*C489</f>
        <v>38</v>
      </c>
    </row>
    <row r="490" spans="1:20" ht="15" customHeight="1" x14ac:dyDescent="0.25">
      <c r="A490" s="14" t="s">
        <v>135</v>
      </c>
      <c r="B490" s="35" t="s">
        <v>22</v>
      </c>
      <c r="C490" s="6">
        <v>15</v>
      </c>
      <c r="D490" s="7">
        <f>3.5/15*C490</f>
        <v>3.5</v>
      </c>
      <c r="E490" s="7">
        <f>4.4/15*C490</f>
        <v>4.4000000000000004</v>
      </c>
      <c r="F490" s="7">
        <v>0</v>
      </c>
      <c r="G490" s="7">
        <f>53.7/15*C490</f>
        <v>53.7</v>
      </c>
      <c r="H490" s="7">
        <f>0.01/15*C490</f>
        <v>0.01</v>
      </c>
      <c r="I490" s="7">
        <f>0.05/15*C490</f>
        <v>0.05</v>
      </c>
      <c r="J490" s="7">
        <f>39/15*C490</f>
        <v>39</v>
      </c>
      <c r="K490" s="7">
        <f>0.15/15*C490</f>
        <v>0.15</v>
      </c>
      <c r="L490" s="7">
        <f>0.11/15*C490</f>
        <v>0.11</v>
      </c>
      <c r="M490" s="7">
        <f>13/15*C490</f>
        <v>13</v>
      </c>
      <c r="N490" s="7">
        <f>132/15*C490</f>
        <v>132</v>
      </c>
      <c r="O490" s="7">
        <f>5.3/15*C490</f>
        <v>5.3</v>
      </c>
      <c r="P490" s="7">
        <f>75/15*C490</f>
        <v>75</v>
      </c>
      <c r="Q490" s="7">
        <f>0.15/15*C490</f>
        <v>0.15</v>
      </c>
      <c r="R490" s="7">
        <v>0</v>
      </c>
      <c r="S490" s="128">
        <f>2.18/15*C490</f>
        <v>2.1800000000000002</v>
      </c>
      <c r="T490" s="7">
        <v>0</v>
      </c>
    </row>
    <row r="491" spans="1:20" ht="15" customHeight="1" x14ac:dyDescent="0.25">
      <c r="A491" s="14" t="s">
        <v>124</v>
      </c>
      <c r="B491" s="35" t="s">
        <v>23</v>
      </c>
      <c r="C491" s="6">
        <v>35</v>
      </c>
      <c r="D491" s="10">
        <f>1.5/25*C491</f>
        <v>2.1</v>
      </c>
      <c r="E491" s="10">
        <f>0.5/25*C491</f>
        <v>0.70000000000000007</v>
      </c>
      <c r="F491" s="10">
        <f>10.2/25*C491</f>
        <v>14.28</v>
      </c>
      <c r="G491" s="10">
        <f>52/25*C491</f>
        <v>72.8</v>
      </c>
      <c r="H491" s="10">
        <f>0.1/25*C491</f>
        <v>0.14000000000000001</v>
      </c>
      <c r="I491" s="10">
        <f>0.08/25*C491</f>
        <v>0.112</v>
      </c>
      <c r="J491" s="10">
        <v>0</v>
      </c>
      <c r="K491" s="10">
        <v>0</v>
      </c>
      <c r="L491" s="10">
        <f>0.1/25*C491</f>
        <v>0.14000000000000001</v>
      </c>
      <c r="M491" s="10">
        <f>41.5/25*C491</f>
        <v>58.099999999999994</v>
      </c>
      <c r="N491" s="10">
        <f>19.75/25*C491</f>
        <v>27.650000000000002</v>
      </c>
      <c r="O491" s="10">
        <f>10/25*C491</f>
        <v>14</v>
      </c>
      <c r="P491" s="10">
        <f>31.25/25*C491</f>
        <v>43.75</v>
      </c>
      <c r="Q491" s="10">
        <f>10/25*C491</f>
        <v>14</v>
      </c>
      <c r="R491" s="10">
        <f>0.7/25*C491</f>
        <v>0.97999999999999987</v>
      </c>
      <c r="S491" s="172">
        <f>7.73/25*C491</f>
        <v>10.822000000000001</v>
      </c>
      <c r="T491" s="10">
        <f>12.75/25*C491</f>
        <v>17.850000000000001</v>
      </c>
    </row>
    <row r="492" spans="1:20" ht="15" customHeight="1" x14ac:dyDescent="0.25">
      <c r="A492" s="14" t="s">
        <v>124</v>
      </c>
      <c r="B492" s="32" t="s">
        <v>24</v>
      </c>
      <c r="C492" s="16">
        <v>45</v>
      </c>
      <c r="D492" s="25">
        <f>3.4/45*C492</f>
        <v>3.4</v>
      </c>
      <c r="E492" s="25">
        <f>0.4/45*C492</f>
        <v>0.4</v>
      </c>
      <c r="F492" s="25">
        <f>22.1/45*C492</f>
        <v>22.1</v>
      </c>
      <c r="G492" s="25">
        <f>105.8/45*C492</f>
        <v>105.8</v>
      </c>
      <c r="H492" s="25">
        <f>0.05/45*C492</f>
        <v>0.05</v>
      </c>
      <c r="I492" s="25">
        <f>0.01/45*C492</f>
        <v>0.01</v>
      </c>
      <c r="J492" s="25">
        <v>0</v>
      </c>
      <c r="K492" s="25">
        <v>0</v>
      </c>
      <c r="L492" s="25">
        <v>0</v>
      </c>
      <c r="M492" s="25">
        <f>46.5/45*C492</f>
        <v>46.500000000000007</v>
      </c>
      <c r="N492" s="27">
        <f>10/45*C492</f>
        <v>10</v>
      </c>
      <c r="O492" s="27">
        <f>7/45*C492</f>
        <v>7</v>
      </c>
      <c r="P492" s="27">
        <f>32.5/45*C492</f>
        <v>32.5</v>
      </c>
      <c r="Q492" s="27">
        <f>1.6/45*C492</f>
        <v>1.6</v>
      </c>
      <c r="R492" s="27">
        <f>0.55/45*C492</f>
        <v>0.55000000000000004</v>
      </c>
      <c r="S492" s="166">
        <f>3/45*C492</f>
        <v>3</v>
      </c>
      <c r="T492" s="27">
        <f>7.5/45*C492</f>
        <v>7.5</v>
      </c>
    </row>
    <row r="493" spans="1:20" ht="15" customHeight="1" x14ac:dyDescent="0.25">
      <c r="A493" s="15"/>
      <c r="B493" s="4"/>
      <c r="C493" s="16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2"/>
      <c r="O493" s="12"/>
      <c r="P493" s="12"/>
      <c r="Q493" s="12"/>
      <c r="R493" s="12"/>
      <c r="S493" s="157"/>
      <c r="T493" s="12"/>
    </row>
    <row r="494" spans="1:20" ht="15" customHeight="1" x14ac:dyDescent="0.25">
      <c r="A494" s="17"/>
      <c r="B494" s="6" t="s">
        <v>25</v>
      </c>
      <c r="C494" s="17">
        <f t="shared" ref="C494:T494" si="68">SUM(C488:C492)</f>
        <v>505</v>
      </c>
      <c r="D494" s="82">
        <f t="shared" si="68"/>
        <v>18.849999999999998</v>
      </c>
      <c r="E494" s="82">
        <f t="shared" si="68"/>
        <v>16.100000000000001</v>
      </c>
      <c r="F494" s="82">
        <f t="shared" si="68"/>
        <v>73.48</v>
      </c>
      <c r="G494" s="82">
        <f t="shared" si="68"/>
        <v>510.04500000000002</v>
      </c>
      <c r="H494" s="82">
        <f t="shared" si="68"/>
        <v>1.0590000000000002</v>
      </c>
      <c r="I494" s="82">
        <f t="shared" si="68"/>
        <v>0.46800000000000003</v>
      </c>
      <c r="J494" s="82">
        <f t="shared" si="68"/>
        <v>84.86</v>
      </c>
      <c r="K494" s="82">
        <f t="shared" si="68"/>
        <v>0.2235</v>
      </c>
      <c r="L494" s="82">
        <f t="shared" si="68"/>
        <v>1.4864999999999999</v>
      </c>
      <c r="M494" s="82">
        <f t="shared" si="68"/>
        <v>502.45000000000005</v>
      </c>
      <c r="N494" s="82">
        <f t="shared" si="68"/>
        <v>434.45</v>
      </c>
      <c r="O494" s="83">
        <f t="shared" si="68"/>
        <v>88.65</v>
      </c>
      <c r="P494" s="83">
        <f t="shared" si="68"/>
        <v>411.45</v>
      </c>
      <c r="Q494" s="83">
        <f t="shared" si="68"/>
        <v>17.3965</v>
      </c>
      <c r="R494" s="83">
        <f t="shared" si="68"/>
        <v>66.03</v>
      </c>
      <c r="S494" s="158">
        <f t="shared" si="68"/>
        <v>22.586500000000001</v>
      </c>
      <c r="T494" s="83">
        <f t="shared" si="68"/>
        <v>95.9</v>
      </c>
    </row>
    <row r="495" spans="1:20" ht="15" customHeight="1" x14ac:dyDescent="0.25">
      <c r="A495" s="289" t="s">
        <v>26</v>
      </c>
      <c r="B495" s="297"/>
      <c r="C495" s="297"/>
      <c r="D495" s="297"/>
      <c r="E495" s="297"/>
      <c r="F495" s="297"/>
      <c r="G495" s="297"/>
      <c r="H495" s="312"/>
      <c r="I495" s="312"/>
      <c r="J495" s="312"/>
      <c r="K495" s="312"/>
      <c r="L495" s="312"/>
      <c r="M495" s="313"/>
      <c r="N495" s="313"/>
      <c r="O495" s="313"/>
      <c r="P495" s="313"/>
      <c r="Q495" s="313"/>
      <c r="R495" s="313"/>
      <c r="S495" s="313"/>
      <c r="T495" s="314"/>
    </row>
    <row r="496" spans="1:20" ht="15" customHeight="1" x14ac:dyDescent="0.25">
      <c r="A496" s="8" t="s">
        <v>144</v>
      </c>
      <c r="B496" s="5" t="s">
        <v>81</v>
      </c>
      <c r="C496" s="90">
        <v>50</v>
      </c>
      <c r="D496" s="25">
        <f>0.8/60*C496</f>
        <v>0.66666666666666674</v>
      </c>
      <c r="E496" s="25">
        <f>2.7/60*C496</f>
        <v>2.2500000000000004</v>
      </c>
      <c r="F496" s="25">
        <f>4.6/60*C496</f>
        <v>3.833333333333333</v>
      </c>
      <c r="G496" s="25">
        <f>45.6/60*C496</f>
        <v>38</v>
      </c>
      <c r="H496" s="25">
        <f>0.01/60*C496</f>
        <v>8.3333333333333332E-3</v>
      </c>
      <c r="I496" s="25">
        <f>0.02/60*C496</f>
        <v>1.6666666666666666E-2</v>
      </c>
      <c r="J496" s="25">
        <f>0.68/60*C496</f>
        <v>0.56666666666666665</v>
      </c>
      <c r="K496" s="25">
        <v>0</v>
      </c>
      <c r="L496" s="25">
        <f>2.28/60*C496</f>
        <v>1.9</v>
      </c>
      <c r="M496" s="25">
        <f>136/60*C496</f>
        <v>113.33333333333333</v>
      </c>
      <c r="N496" s="25">
        <f>19/60*C496</f>
        <v>15.833333333333332</v>
      </c>
      <c r="O496" s="25">
        <f>11/60*C496</f>
        <v>9.1666666666666661</v>
      </c>
      <c r="P496" s="25">
        <f>22/60*C496</f>
        <v>18.333333333333332</v>
      </c>
      <c r="Q496" s="25">
        <f>0.7/60*C496</f>
        <v>0.58333333333333326</v>
      </c>
      <c r="R496" s="25">
        <f>12/60*C496</f>
        <v>10</v>
      </c>
      <c r="S496" s="86">
        <f>0.35/60*C496</f>
        <v>0.29166666666666663</v>
      </c>
      <c r="T496" s="25">
        <f>11/60*C496</f>
        <v>9.1666666666666661</v>
      </c>
    </row>
    <row r="497" spans="1:20" ht="15" customHeight="1" x14ac:dyDescent="0.25">
      <c r="A497" s="270" t="s">
        <v>157</v>
      </c>
      <c r="B497" s="40" t="s">
        <v>48</v>
      </c>
      <c r="C497" s="24">
        <v>150</v>
      </c>
      <c r="D497" s="10">
        <f>2.6/200*C497</f>
        <v>1.9500000000000002</v>
      </c>
      <c r="E497" s="10">
        <f>2/200*C497</f>
        <v>1.5</v>
      </c>
      <c r="F497" s="10">
        <f>17.6/200*C497</f>
        <v>13.200000000000001</v>
      </c>
      <c r="G497" s="10">
        <f>95.4/200*C497</f>
        <v>71.550000000000011</v>
      </c>
      <c r="H497" s="10">
        <f>0.1/200*C497</f>
        <v>7.4999999999999997E-2</v>
      </c>
      <c r="I497" s="10">
        <v>0</v>
      </c>
      <c r="J497" s="10">
        <f>1/200*C497</f>
        <v>0.75</v>
      </c>
      <c r="K497" s="10">
        <v>0</v>
      </c>
      <c r="L497" s="10">
        <f>8/200*C497</f>
        <v>6</v>
      </c>
      <c r="M497" s="10">
        <f>255.4/200*C497</f>
        <v>191.55</v>
      </c>
      <c r="N497" s="10">
        <f>9.6/200*C497</f>
        <v>7.2</v>
      </c>
      <c r="O497" s="10">
        <f>12.1/200*C497</f>
        <v>9.0749999999999993</v>
      </c>
      <c r="P497" s="10">
        <v>0</v>
      </c>
      <c r="Q497" s="10">
        <f>2.3/200*C497</f>
        <v>1.7249999999999999</v>
      </c>
      <c r="R497" s="10">
        <f>0.5/200*C497</f>
        <v>0.375</v>
      </c>
      <c r="S497" s="172">
        <v>0</v>
      </c>
      <c r="T497" s="10">
        <f>15.9/200*C497</f>
        <v>11.925000000000001</v>
      </c>
    </row>
    <row r="498" spans="1:20" ht="15" customHeight="1" x14ac:dyDescent="0.25">
      <c r="A498" s="270" t="s">
        <v>145</v>
      </c>
      <c r="B498" s="5" t="s">
        <v>106</v>
      </c>
      <c r="C498" s="63">
        <v>150</v>
      </c>
      <c r="D498" s="232">
        <v>1.3</v>
      </c>
      <c r="E498" s="114">
        <v>7.1</v>
      </c>
      <c r="F498" s="114">
        <f>36/150*C498</f>
        <v>36</v>
      </c>
      <c r="G498" s="156">
        <f>233.7/150*C498</f>
        <v>233.7</v>
      </c>
      <c r="H498" s="61">
        <f>0.21/150*C498</f>
        <v>0.21</v>
      </c>
      <c r="I498" s="61">
        <f>0.12/150*C498</f>
        <v>0.12</v>
      </c>
      <c r="J498" s="61">
        <f>19.2/150*C498</f>
        <v>19.2</v>
      </c>
      <c r="K498" s="61">
        <f>0.09/150*C498</f>
        <v>0.09</v>
      </c>
      <c r="L498" s="61">
        <v>0</v>
      </c>
      <c r="M498" s="61">
        <f>219/150*C498</f>
        <v>219</v>
      </c>
      <c r="N498" s="61">
        <f>15/150*C498</f>
        <v>15</v>
      </c>
      <c r="O498" s="61">
        <f>120/150*C498</f>
        <v>120</v>
      </c>
      <c r="P498" s="61">
        <f>181/150*C498</f>
        <v>181.00000000000003</v>
      </c>
      <c r="Q498" s="61">
        <f>4.04/150*C498</f>
        <v>4.04</v>
      </c>
      <c r="R498" s="61">
        <f>22/150*C498</f>
        <v>22</v>
      </c>
      <c r="S498" s="61">
        <f>3.52/150*C498</f>
        <v>3.52</v>
      </c>
      <c r="T498" s="61">
        <f>16/150*C498</f>
        <v>16</v>
      </c>
    </row>
    <row r="499" spans="1:20" ht="15" customHeight="1" x14ac:dyDescent="0.25">
      <c r="A499" s="19" t="s">
        <v>154</v>
      </c>
      <c r="B499" s="32" t="s">
        <v>61</v>
      </c>
      <c r="C499" s="20">
        <v>100</v>
      </c>
      <c r="D499" s="21">
        <f>12.9/100*C499</f>
        <v>12.9</v>
      </c>
      <c r="E499" s="21">
        <v>5</v>
      </c>
      <c r="F499" s="21">
        <f>6.1/100*C499</f>
        <v>6.1</v>
      </c>
      <c r="G499" s="21">
        <f>112.2/100*C499</f>
        <v>112.20000000000002</v>
      </c>
      <c r="H499" s="21">
        <f>0.08/100*C499</f>
        <v>0.08</v>
      </c>
      <c r="I499" s="21">
        <f>0.13/100*C499</f>
        <v>0.13</v>
      </c>
      <c r="J499" s="21">
        <f>295/100*C499</f>
        <v>295</v>
      </c>
      <c r="K499" s="21">
        <f>0.46/100*C499</f>
        <v>0.45999999999999996</v>
      </c>
      <c r="L499" s="21">
        <f>0.94/100*C499</f>
        <v>0.93999999999999984</v>
      </c>
      <c r="M499" s="21">
        <f>316/100*C499</f>
        <v>316</v>
      </c>
      <c r="N499" s="21">
        <f>51/100*C499</f>
        <v>51</v>
      </c>
      <c r="O499" s="21">
        <f>44/100*C499</f>
        <v>44</v>
      </c>
      <c r="P499" s="21">
        <f>189/100*C499</f>
        <v>189</v>
      </c>
      <c r="Q499" s="21">
        <f>1.05/100*C499</f>
        <v>1.05</v>
      </c>
      <c r="R499" s="21">
        <f>122/100*C499</f>
        <v>122</v>
      </c>
      <c r="S499" s="89">
        <f>13.6/100*C499</f>
        <v>13.600000000000001</v>
      </c>
      <c r="T499" s="21">
        <f>494/100*C499</f>
        <v>494.00000000000006</v>
      </c>
    </row>
    <row r="500" spans="1:20" ht="15" customHeight="1" x14ac:dyDescent="0.25">
      <c r="A500" s="131" t="s">
        <v>131</v>
      </c>
      <c r="B500" s="97" t="s">
        <v>41</v>
      </c>
      <c r="C500" s="41">
        <v>50</v>
      </c>
      <c r="D500" s="42">
        <f>0.54/30*C500</f>
        <v>0.90000000000000013</v>
      </c>
      <c r="E500" s="42">
        <f>3.67/30*C500</f>
        <v>6.1166666666666671</v>
      </c>
      <c r="F500" s="42">
        <f>5.24/30*C500</f>
        <v>8.7333333333333325</v>
      </c>
      <c r="G500" s="42">
        <f>56.16/30*C500</f>
        <v>93.6</v>
      </c>
      <c r="H500" s="42">
        <f>0.01/30*C500</f>
        <v>1.6666666666666666E-2</v>
      </c>
      <c r="I500" s="42">
        <v>0</v>
      </c>
      <c r="J500" s="42">
        <v>0</v>
      </c>
      <c r="K500" s="42">
        <f>0.23/30*C500</f>
        <v>0.38333333333333336</v>
      </c>
      <c r="L500" s="42">
        <f>1.68/30*C500</f>
        <v>2.8000000000000003</v>
      </c>
      <c r="M500" s="42">
        <f>2/30*C500</f>
        <v>3.3333333333333335</v>
      </c>
      <c r="N500" s="42">
        <f>5/30*C500</f>
        <v>8.3333333333333321</v>
      </c>
      <c r="O500" s="42">
        <v>0</v>
      </c>
      <c r="P500" s="42">
        <f>23.6/30*C500</f>
        <v>39.333333333333336</v>
      </c>
      <c r="Q500" s="42">
        <v>0</v>
      </c>
      <c r="R500" s="42">
        <f>0.01/30*C500</f>
        <v>1.6666666666666666E-2</v>
      </c>
      <c r="S500" s="165">
        <v>0</v>
      </c>
      <c r="T500" s="25">
        <f>0.04/30*C500</f>
        <v>6.6666666666666666E-2</v>
      </c>
    </row>
    <row r="501" spans="1:20" ht="15" customHeight="1" x14ac:dyDescent="0.25">
      <c r="A501" s="8">
        <v>254</v>
      </c>
      <c r="B501" s="97" t="s">
        <v>77</v>
      </c>
      <c r="C501" s="37">
        <v>200</v>
      </c>
      <c r="D501" s="38">
        <f>0.4/200*C501</f>
        <v>0.4</v>
      </c>
      <c r="E501" s="38">
        <v>0</v>
      </c>
      <c r="F501" s="38">
        <f>3/200*C501</f>
        <v>3</v>
      </c>
      <c r="G501" s="38">
        <f>14.4/200*C501</f>
        <v>14.400000000000002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2">
        <f>8.82/200*C501</f>
        <v>8.82</v>
      </c>
      <c r="O501" s="12">
        <f>1.96/200*C501</f>
        <v>1.96</v>
      </c>
      <c r="P501" s="12">
        <v>0</v>
      </c>
      <c r="Q501" s="12">
        <v>0</v>
      </c>
      <c r="R501" s="12">
        <v>0</v>
      </c>
      <c r="S501" s="157">
        <v>0</v>
      </c>
      <c r="T501" s="12">
        <f>196/200*C501</f>
        <v>196</v>
      </c>
    </row>
    <row r="502" spans="1:20" ht="15" customHeight="1" x14ac:dyDescent="0.25">
      <c r="A502" s="95" t="s">
        <v>124</v>
      </c>
      <c r="B502" s="35" t="s">
        <v>23</v>
      </c>
      <c r="C502" s="6">
        <v>60</v>
      </c>
      <c r="D502" s="10">
        <f>1.5/25*C502</f>
        <v>3.5999999999999996</v>
      </c>
      <c r="E502" s="10">
        <v>2.2000000000000002</v>
      </c>
      <c r="F502" s="10">
        <f>10.2/25*C502</f>
        <v>24.479999999999997</v>
      </c>
      <c r="G502" s="10">
        <f>52/25*C502</f>
        <v>124.80000000000001</v>
      </c>
      <c r="H502" s="10">
        <f>0.1/25*C502</f>
        <v>0.24</v>
      </c>
      <c r="I502" s="10">
        <f>0.08/25*C502</f>
        <v>0.192</v>
      </c>
      <c r="J502" s="10">
        <v>0</v>
      </c>
      <c r="K502" s="10">
        <v>0</v>
      </c>
      <c r="L502" s="10">
        <f>0.1/25*C502</f>
        <v>0.24</v>
      </c>
      <c r="M502" s="10">
        <f>41.5/25*C502</f>
        <v>99.6</v>
      </c>
      <c r="N502" s="10">
        <f>19.75/25*C502</f>
        <v>47.400000000000006</v>
      </c>
      <c r="O502" s="10">
        <f>10/25*C502</f>
        <v>24</v>
      </c>
      <c r="P502" s="10">
        <f>31.25/25*C502</f>
        <v>75</v>
      </c>
      <c r="Q502" s="10">
        <f>10/25*C502</f>
        <v>24</v>
      </c>
      <c r="R502" s="10">
        <f>0.7/25*C502</f>
        <v>1.6799999999999997</v>
      </c>
      <c r="S502" s="172">
        <f>7.73/25*C502</f>
        <v>18.552000000000003</v>
      </c>
      <c r="T502" s="10">
        <f>12.75/25*C502</f>
        <v>30.6</v>
      </c>
    </row>
    <row r="503" spans="1:20" ht="15" customHeight="1" x14ac:dyDescent="0.25">
      <c r="A503" s="95" t="s">
        <v>124</v>
      </c>
      <c r="B503" s="32" t="s">
        <v>24</v>
      </c>
      <c r="C503" s="16">
        <v>30</v>
      </c>
      <c r="D503" s="25">
        <f>3.4/45*C503</f>
        <v>2.2666666666666666</v>
      </c>
      <c r="E503" s="25">
        <f>0.4/45*C503</f>
        <v>0.26666666666666666</v>
      </c>
      <c r="F503" s="25">
        <f>22.1/45*C503</f>
        <v>14.733333333333334</v>
      </c>
      <c r="G503" s="25">
        <f>105.8/45*C503</f>
        <v>70.533333333333331</v>
      </c>
      <c r="H503" s="25">
        <f>0.05/45*C503</f>
        <v>3.3333333333333333E-2</v>
      </c>
      <c r="I503" s="25">
        <f>0.01/45*C503</f>
        <v>6.6666666666666671E-3</v>
      </c>
      <c r="J503" s="25">
        <v>0</v>
      </c>
      <c r="K503" s="25">
        <v>0</v>
      </c>
      <c r="L503" s="25">
        <v>0</v>
      </c>
      <c r="M503" s="25">
        <f>46.5/45*C503</f>
        <v>31.000000000000004</v>
      </c>
      <c r="N503" s="27">
        <f>10/45*C503</f>
        <v>6.6666666666666661</v>
      </c>
      <c r="O503" s="27">
        <f>7/45*C503</f>
        <v>4.666666666666667</v>
      </c>
      <c r="P503" s="27">
        <f>32.5/45*C503</f>
        <v>21.666666666666668</v>
      </c>
      <c r="Q503" s="27">
        <f>1.6/45*C503</f>
        <v>1.0666666666666667</v>
      </c>
      <c r="R503" s="27">
        <f>0.55/45*C503</f>
        <v>0.3666666666666667</v>
      </c>
      <c r="S503" s="166">
        <f>3/45*C503</f>
        <v>2</v>
      </c>
      <c r="T503" s="27">
        <f>7.5/45*C503</f>
        <v>5</v>
      </c>
    </row>
    <row r="504" spans="1:20" ht="15" customHeight="1" x14ac:dyDescent="0.25">
      <c r="A504" s="95"/>
      <c r="B504" s="211"/>
      <c r="C504" s="212"/>
      <c r="D504" s="103"/>
      <c r="E504" s="103"/>
      <c r="F504" s="103"/>
      <c r="G504" s="103"/>
      <c r="H504" s="155"/>
      <c r="I504" s="106"/>
      <c r="J504" s="106"/>
      <c r="K504" s="106"/>
      <c r="L504" s="106"/>
      <c r="M504" s="106"/>
      <c r="N504" s="107"/>
      <c r="O504" s="107"/>
      <c r="P504" s="107"/>
      <c r="Q504" s="107"/>
      <c r="R504" s="107"/>
      <c r="S504" s="171"/>
      <c r="T504" s="107"/>
    </row>
    <row r="505" spans="1:20" ht="15" customHeight="1" x14ac:dyDescent="0.25">
      <c r="A505" s="4"/>
      <c r="B505" s="71" t="s">
        <v>29</v>
      </c>
      <c r="C505" s="98">
        <f t="shared" ref="C505:T505" si="69">SUM(C496:C503)</f>
        <v>790</v>
      </c>
      <c r="D505" s="75">
        <f t="shared" si="69"/>
        <v>23.983333333333327</v>
      </c>
      <c r="E505" s="75">
        <f t="shared" si="69"/>
        <v>24.433333333333334</v>
      </c>
      <c r="F505" s="148">
        <f t="shared" si="69"/>
        <v>110.08</v>
      </c>
      <c r="G505" s="75">
        <f t="shared" si="69"/>
        <v>758.7833333333333</v>
      </c>
      <c r="H505" s="75">
        <f t="shared" si="69"/>
        <v>0.66333333333333333</v>
      </c>
      <c r="I505" s="75">
        <f t="shared" si="69"/>
        <v>0.46533333333333332</v>
      </c>
      <c r="J505" s="148">
        <f t="shared" si="69"/>
        <v>315.51666666666665</v>
      </c>
      <c r="K505" s="75">
        <f t="shared" si="69"/>
        <v>0.93333333333333335</v>
      </c>
      <c r="L505" s="75">
        <f t="shared" si="69"/>
        <v>11.88</v>
      </c>
      <c r="M505" s="205">
        <f t="shared" si="69"/>
        <v>973.81666666666672</v>
      </c>
      <c r="N505" s="148">
        <f t="shared" si="69"/>
        <v>160.25333333333333</v>
      </c>
      <c r="O505" s="148">
        <f t="shared" si="69"/>
        <v>212.86833333333334</v>
      </c>
      <c r="P505" s="148">
        <f t="shared" si="69"/>
        <v>524.33333333333337</v>
      </c>
      <c r="Q505" s="75">
        <f t="shared" si="69"/>
        <v>32.465000000000003</v>
      </c>
      <c r="R505" s="148">
        <f t="shared" si="69"/>
        <v>156.43833333333336</v>
      </c>
      <c r="S505" s="75">
        <f t="shared" si="69"/>
        <v>37.963666666666668</v>
      </c>
      <c r="T505" s="71">
        <f t="shared" si="69"/>
        <v>762.75833333333344</v>
      </c>
    </row>
    <row r="506" spans="1:20" ht="15" customHeight="1" x14ac:dyDescent="0.25">
      <c r="A506" s="298" t="s">
        <v>30</v>
      </c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315"/>
    </row>
    <row r="507" spans="1:20" ht="15" customHeight="1" x14ac:dyDescent="0.25">
      <c r="A507" s="72">
        <v>309</v>
      </c>
      <c r="B507" s="244" t="s">
        <v>76</v>
      </c>
      <c r="C507" s="73">
        <v>100</v>
      </c>
      <c r="D507" s="228">
        <v>3.5</v>
      </c>
      <c r="E507" s="228">
        <v>5.31</v>
      </c>
      <c r="F507" s="74">
        <v>39.299999999999997</v>
      </c>
      <c r="G507" s="228">
        <v>158.6</v>
      </c>
      <c r="H507" s="33">
        <f>102.3/70*C507</f>
        <v>146.14285714285714</v>
      </c>
      <c r="I507" s="33">
        <f>0.15/70*C507</f>
        <v>0.2142857142857143</v>
      </c>
      <c r="J507" s="34">
        <f>1/70*C507</f>
        <v>1.4285714285714286</v>
      </c>
      <c r="K507" s="33">
        <f>1.5/70*C507</f>
        <v>2.1428571428571428</v>
      </c>
      <c r="L507" s="33">
        <f>9.2/70*C507</f>
        <v>13.142857142857142</v>
      </c>
      <c r="M507" s="33">
        <v>0</v>
      </c>
      <c r="N507" s="33">
        <f>3.6/70*C507</f>
        <v>5.1428571428571423</v>
      </c>
      <c r="O507" s="33">
        <f>0.3/70*C507</f>
        <v>0.4285714285714286</v>
      </c>
      <c r="P507" s="33">
        <v>0</v>
      </c>
      <c r="Q507" s="33">
        <f>1.2/70*C507</f>
        <v>1.7142857142857144</v>
      </c>
      <c r="R507" s="33">
        <v>0</v>
      </c>
      <c r="S507" s="160">
        <v>0</v>
      </c>
      <c r="T507" s="33">
        <v>0</v>
      </c>
    </row>
    <row r="508" spans="1:20" ht="15" customHeight="1" x14ac:dyDescent="0.25">
      <c r="A508" s="270">
        <v>267</v>
      </c>
      <c r="B508" s="5" t="s">
        <v>103</v>
      </c>
      <c r="C508" s="26">
        <v>200</v>
      </c>
      <c r="D508" s="21">
        <f>7.32/200*C508</f>
        <v>7.32</v>
      </c>
      <c r="E508" s="21">
        <v>6.3</v>
      </c>
      <c r="F508" s="21">
        <f>9/200*C508</f>
        <v>9</v>
      </c>
      <c r="G508" s="21">
        <f>128/200*C508</f>
        <v>128</v>
      </c>
      <c r="H508" s="21">
        <v>0</v>
      </c>
      <c r="I508" s="21">
        <f>0.4/200*C508</f>
        <v>0.4</v>
      </c>
      <c r="J508" s="21">
        <f>0.66/200*C508</f>
        <v>0.66</v>
      </c>
      <c r="K508" s="21">
        <v>0</v>
      </c>
      <c r="L508" s="21">
        <f>3/200*C508</f>
        <v>3</v>
      </c>
      <c r="M508" s="21">
        <f>302/200*C508</f>
        <v>302</v>
      </c>
      <c r="N508" s="21">
        <f>238/200*C508</f>
        <v>238</v>
      </c>
      <c r="O508" s="21">
        <f>26/200*C508</f>
        <v>26</v>
      </c>
      <c r="P508" s="21">
        <f>186/200*C508</f>
        <v>186</v>
      </c>
      <c r="Q508" s="21">
        <v>0</v>
      </c>
      <c r="R508" s="21">
        <f>0.2/200*C508</f>
        <v>0.2</v>
      </c>
      <c r="S508" s="89">
        <f>4/200*C508</f>
        <v>4</v>
      </c>
      <c r="T508" s="21">
        <v>0</v>
      </c>
    </row>
    <row r="509" spans="1:20" ht="15" customHeight="1" x14ac:dyDescent="0.25">
      <c r="A509" s="4"/>
      <c r="B509" s="4"/>
      <c r="C509" s="29"/>
      <c r="D509" s="30"/>
      <c r="E509" s="30"/>
      <c r="F509" s="30"/>
      <c r="G509" s="30"/>
      <c r="H509" s="30"/>
      <c r="I509" s="30"/>
      <c r="J509" s="31"/>
      <c r="K509" s="30"/>
      <c r="L509" s="30"/>
      <c r="M509" s="30"/>
      <c r="N509" s="30"/>
      <c r="O509" s="30"/>
      <c r="P509" s="30"/>
      <c r="Q509" s="30"/>
      <c r="R509" s="30"/>
      <c r="S509" s="161"/>
      <c r="T509" s="30"/>
    </row>
    <row r="510" spans="1:20" ht="15" customHeight="1" x14ac:dyDescent="0.25">
      <c r="A510" s="4"/>
      <c r="B510" s="28" t="s">
        <v>32</v>
      </c>
      <c r="C510" s="29">
        <f>SUM(C507:C508)</f>
        <v>300</v>
      </c>
      <c r="D510" s="30">
        <f>SUM(D507:D508)</f>
        <v>10.82</v>
      </c>
      <c r="E510" s="30">
        <f t="shared" ref="E510:Q510" si="70">SUM(E507:E508)</f>
        <v>11.61</v>
      </c>
      <c r="F510" s="30">
        <f t="shared" si="70"/>
        <v>48.3</v>
      </c>
      <c r="G510" s="30">
        <f t="shared" si="70"/>
        <v>286.60000000000002</v>
      </c>
      <c r="H510" s="30">
        <f t="shared" si="70"/>
        <v>146.14285714285714</v>
      </c>
      <c r="I510" s="30">
        <f t="shared" si="70"/>
        <v>0.61428571428571432</v>
      </c>
      <c r="J510" s="30">
        <f t="shared" si="70"/>
        <v>2.0885714285714285</v>
      </c>
      <c r="K510" s="30">
        <f t="shared" si="70"/>
        <v>2.1428571428571428</v>
      </c>
      <c r="L510" s="30">
        <f t="shared" si="70"/>
        <v>16.142857142857142</v>
      </c>
      <c r="M510" s="30">
        <f t="shared" si="70"/>
        <v>302</v>
      </c>
      <c r="N510" s="30">
        <f t="shared" si="70"/>
        <v>243.14285714285714</v>
      </c>
      <c r="O510" s="30">
        <f t="shared" si="70"/>
        <v>26.428571428571427</v>
      </c>
      <c r="P510" s="30">
        <f t="shared" si="70"/>
        <v>186</v>
      </c>
      <c r="Q510" s="30">
        <f t="shared" si="70"/>
        <v>1.7142857142857144</v>
      </c>
      <c r="R510" s="30">
        <f>SUM(R507:R508)</f>
        <v>0.2</v>
      </c>
      <c r="S510" s="161">
        <f>SUM(S507:S508)</f>
        <v>4</v>
      </c>
      <c r="T510" s="30">
        <f>SUM(T507:T508)</f>
        <v>0</v>
      </c>
    </row>
    <row r="511" spans="1:20" ht="15" customHeight="1" x14ac:dyDescent="0.25">
      <c r="A511" s="4"/>
      <c r="B511" s="28" t="s">
        <v>33</v>
      </c>
      <c r="C511" s="29">
        <f t="shared" ref="C511:Q511" si="71">C510+C505+C494</f>
        <v>1595</v>
      </c>
      <c r="D511" s="30">
        <f t="shared" si="71"/>
        <v>53.653333333333322</v>
      </c>
      <c r="E511" s="29">
        <f t="shared" si="71"/>
        <v>52.143333333333338</v>
      </c>
      <c r="F511" s="29">
        <f t="shared" si="71"/>
        <v>231.86</v>
      </c>
      <c r="G511" s="29">
        <f t="shared" si="71"/>
        <v>1555.4283333333333</v>
      </c>
      <c r="H511" s="29">
        <f t="shared" si="71"/>
        <v>147.86519047619046</v>
      </c>
      <c r="I511" s="29">
        <f t="shared" si="71"/>
        <v>1.5476190476190477</v>
      </c>
      <c r="J511" s="29">
        <f t="shared" si="71"/>
        <v>402.46523809523808</v>
      </c>
      <c r="K511" s="29">
        <f t="shared" si="71"/>
        <v>3.299690476190476</v>
      </c>
      <c r="L511" s="29">
        <f t="shared" si="71"/>
        <v>29.509357142857141</v>
      </c>
      <c r="M511" s="29">
        <f t="shared" si="71"/>
        <v>1778.2666666666667</v>
      </c>
      <c r="N511" s="29">
        <f t="shared" si="71"/>
        <v>837.84619047619049</v>
      </c>
      <c r="O511" s="29">
        <f t="shared" si="71"/>
        <v>327.94690476190476</v>
      </c>
      <c r="P511" s="29">
        <f t="shared" si="71"/>
        <v>1121.7833333333333</v>
      </c>
      <c r="Q511" s="29">
        <f t="shared" si="71"/>
        <v>51.575785714285715</v>
      </c>
      <c r="R511" s="29">
        <f>R510+R505+R494</f>
        <v>222.66833333333335</v>
      </c>
      <c r="S511" s="162">
        <f>S510+S505+S494</f>
        <v>64.550166666666669</v>
      </c>
      <c r="T511" s="29">
        <f>T510+T505+T494</f>
        <v>858.65833333333342</v>
      </c>
    </row>
    <row r="512" spans="1:20" ht="15" customHeight="1" x14ac:dyDescent="0.25">
      <c r="A512" s="293" t="s">
        <v>195</v>
      </c>
      <c r="B512" s="294"/>
      <c r="C512" s="294"/>
      <c r="D512" s="294"/>
      <c r="E512" s="294"/>
      <c r="F512" s="294"/>
      <c r="G512" s="294"/>
      <c r="H512" s="294"/>
      <c r="I512" s="294"/>
      <c r="J512" s="294"/>
      <c r="K512" s="294"/>
      <c r="L512" s="294"/>
      <c r="M512" s="294"/>
      <c r="N512" s="294"/>
      <c r="O512" s="294"/>
      <c r="P512" s="294"/>
      <c r="Q512" s="294"/>
      <c r="R512" s="294"/>
      <c r="S512" s="294"/>
      <c r="T512" s="307"/>
    </row>
    <row r="513" spans="1:20" ht="15" customHeight="1" x14ac:dyDescent="0.25">
      <c r="A513" s="293" t="s">
        <v>206</v>
      </c>
      <c r="B513" s="294"/>
      <c r="C513" s="294"/>
      <c r="D513" s="294"/>
      <c r="E513" s="294"/>
      <c r="F513" s="294"/>
      <c r="G513" s="294"/>
      <c r="H513" s="294"/>
      <c r="I513" s="294"/>
      <c r="J513" s="294"/>
      <c r="K513" s="294"/>
      <c r="L513" s="294"/>
      <c r="M513" s="294"/>
      <c r="N513" s="294"/>
      <c r="O513" s="294"/>
      <c r="P513" s="294"/>
      <c r="Q513" s="294"/>
      <c r="R513" s="294"/>
      <c r="S513" s="294"/>
      <c r="T513" s="307"/>
    </row>
    <row r="514" spans="1:20" ht="15" customHeight="1" x14ac:dyDescent="0.25">
      <c r="A514" s="285" t="s">
        <v>18</v>
      </c>
      <c r="B514" s="286"/>
      <c r="C514" s="286"/>
      <c r="D514" s="286"/>
      <c r="E514" s="286"/>
      <c r="F514" s="286"/>
      <c r="G514" s="286"/>
      <c r="H514" s="286"/>
      <c r="I514" s="286"/>
      <c r="J514" s="286"/>
      <c r="K514" s="286"/>
      <c r="L514" s="286"/>
      <c r="M514" s="286"/>
      <c r="N514" s="286"/>
      <c r="O514" s="286"/>
      <c r="P514" s="286"/>
      <c r="Q514" s="286"/>
      <c r="R514" s="286"/>
      <c r="S514" s="286"/>
      <c r="T514" s="308"/>
    </row>
    <row r="515" spans="1:20" ht="15" customHeight="1" x14ac:dyDescent="0.25">
      <c r="A515" s="287" t="s">
        <v>19</v>
      </c>
      <c r="B515" s="296"/>
      <c r="C515" s="296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309"/>
    </row>
    <row r="516" spans="1:20" ht="15" customHeight="1" x14ac:dyDescent="0.25">
      <c r="A516" s="19" t="s">
        <v>177</v>
      </c>
      <c r="B516" s="32" t="s">
        <v>176</v>
      </c>
      <c r="C516" s="28">
        <v>220</v>
      </c>
      <c r="D516" s="56">
        <v>4.2</v>
      </c>
      <c r="E516" s="56">
        <f>7.5/200*C516</f>
        <v>8.25</v>
      </c>
      <c r="F516" s="56">
        <f>24.7/200*C516</f>
        <v>27.169999999999998</v>
      </c>
      <c r="G516" s="56">
        <v>250.9</v>
      </c>
      <c r="H516" s="21">
        <f>0.14/200*C516</f>
        <v>0.15400000000000003</v>
      </c>
      <c r="I516" s="21">
        <f>0.17/200*C516</f>
        <v>0.187</v>
      </c>
      <c r="J516" s="270">
        <f>29.1/200*C516</f>
        <v>32.010000000000005</v>
      </c>
      <c r="K516" s="270">
        <f>0.07/200*C516</f>
        <v>7.7000000000000013E-2</v>
      </c>
      <c r="L516" s="270">
        <f>0.61/200*C516</f>
        <v>0.67099999999999993</v>
      </c>
      <c r="M516" s="270">
        <f>237/200*C516</f>
        <v>260.7</v>
      </c>
      <c r="N516" s="270">
        <f>146/200*C516</f>
        <v>160.6</v>
      </c>
      <c r="O516" s="270">
        <f>46/200*C516</f>
        <v>50.6</v>
      </c>
      <c r="P516" s="270">
        <f>188/200*C516</f>
        <v>206.79999999999998</v>
      </c>
      <c r="Q516" s="270">
        <f>1.2/200*C516</f>
        <v>1.32</v>
      </c>
      <c r="R516" s="270">
        <f>52/200*C516</f>
        <v>57.2</v>
      </c>
      <c r="S516" s="194">
        <f>9.95/200*C516</f>
        <v>10.944999999999999</v>
      </c>
      <c r="T516" s="270">
        <f>50/200*C516</f>
        <v>55</v>
      </c>
    </row>
    <row r="517" spans="1:20" ht="15" customHeight="1" x14ac:dyDescent="0.25">
      <c r="A517" s="8" t="s">
        <v>140</v>
      </c>
      <c r="B517" s="32" t="s">
        <v>20</v>
      </c>
      <c r="C517" s="9">
        <v>200</v>
      </c>
      <c r="D517" s="10">
        <f>0.2/200*C517</f>
        <v>0.2</v>
      </c>
      <c r="E517" s="10">
        <v>0</v>
      </c>
      <c r="F517" s="10">
        <f>6.5/200*C517</f>
        <v>6.5</v>
      </c>
      <c r="G517" s="10">
        <v>56.9</v>
      </c>
      <c r="H517" s="10">
        <v>0</v>
      </c>
      <c r="I517" s="10">
        <f>0.01/200*C517</f>
        <v>0.01</v>
      </c>
      <c r="J517" s="10">
        <f>0.3/200*C517</f>
        <v>0.3</v>
      </c>
      <c r="K517" s="10">
        <v>0</v>
      </c>
      <c r="L517" s="10">
        <f>0.04/200*C517</f>
        <v>0.04</v>
      </c>
      <c r="M517" s="11">
        <f>20.8/200*C517</f>
        <v>20.8</v>
      </c>
      <c r="N517" s="12">
        <f>4.5/200*C517</f>
        <v>4.5</v>
      </c>
      <c r="O517" s="12">
        <f>3.8/200*C517</f>
        <v>3.8</v>
      </c>
      <c r="P517" s="12">
        <f>7.2/200*C517</f>
        <v>7.2000000000000011</v>
      </c>
      <c r="Q517" s="12">
        <f>0.73/200*C517</f>
        <v>0.73</v>
      </c>
      <c r="R517" s="12">
        <v>0</v>
      </c>
      <c r="S517" s="157">
        <v>0</v>
      </c>
      <c r="T517" s="12">
        <v>0</v>
      </c>
    </row>
    <row r="518" spans="1:20" ht="15" customHeight="1" x14ac:dyDescent="0.25">
      <c r="A518" s="4" t="s">
        <v>191</v>
      </c>
      <c r="B518" s="35" t="s">
        <v>21</v>
      </c>
      <c r="C518" s="6">
        <v>10</v>
      </c>
      <c r="D518" s="61">
        <f>10/10*C518</f>
        <v>10</v>
      </c>
      <c r="E518" s="61">
        <v>8</v>
      </c>
      <c r="F518" s="61">
        <f>7.2/10*C518</f>
        <v>7.1999999999999993</v>
      </c>
      <c r="G518" s="61">
        <v>5</v>
      </c>
      <c r="H518" s="61">
        <v>0</v>
      </c>
      <c r="I518" s="140">
        <f>0.01/10*C518</f>
        <v>0.01</v>
      </c>
      <c r="J518" s="61">
        <f>45/10*C518</f>
        <v>45</v>
      </c>
      <c r="K518" s="61">
        <f>0.13/10*C518</f>
        <v>0.13</v>
      </c>
      <c r="L518" s="61">
        <v>0</v>
      </c>
      <c r="M518" s="61">
        <f>3/10*C518</f>
        <v>3</v>
      </c>
      <c r="N518" s="61">
        <f>2.4/10*C518</f>
        <v>2.4</v>
      </c>
      <c r="O518" s="61">
        <v>0</v>
      </c>
      <c r="P518" s="61">
        <f>3/10*C518</f>
        <v>3</v>
      </c>
      <c r="Q518" s="61">
        <f>0.02/10*C518</f>
        <v>0.02</v>
      </c>
      <c r="R518" s="61">
        <v>0</v>
      </c>
      <c r="S518" s="133">
        <f>0.1/10*C518</f>
        <v>0.1</v>
      </c>
      <c r="T518" s="61">
        <f>0.3/10*C518</f>
        <v>0.3</v>
      </c>
    </row>
    <row r="519" spans="1:20" ht="15" customHeight="1" x14ac:dyDescent="0.25">
      <c r="A519" s="14" t="s">
        <v>124</v>
      </c>
      <c r="B519" s="35" t="s">
        <v>23</v>
      </c>
      <c r="C519" s="6">
        <v>25</v>
      </c>
      <c r="D519" s="10">
        <v>1.2</v>
      </c>
      <c r="E519" s="10">
        <f>0.5/25*C519</f>
        <v>0.5</v>
      </c>
      <c r="F519" s="10">
        <f>10.2/25*C519</f>
        <v>10.199999999999999</v>
      </c>
      <c r="G519" s="10">
        <f>52/25*C519</f>
        <v>52</v>
      </c>
      <c r="H519" s="10">
        <f>0.1/25*C519</f>
        <v>0.1</v>
      </c>
      <c r="I519" s="10">
        <f>0.08/25*C519</f>
        <v>0.08</v>
      </c>
      <c r="J519" s="10">
        <v>0</v>
      </c>
      <c r="K519" s="10">
        <v>0</v>
      </c>
      <c r="L519" s="10">
        <f>0.1/25*C519</f>
        <v>0.1</v>
      </c>
      <c r="M519" s="10">
        <f>41.5/25*C519</f>
        <v>41.5</v>
      </c>
      <c r="N519" s="10">
        <f>19.75/25*C519</f>
        <v>19.75</v>
      </c>
      <c r="O519" s="10">
        <f>10/25*C519</f>
        <v>10</v>
      </c>
      <c r="P519" s="10">
        <f>31.25/25*C519</f>
        <v>31.25</v>
      </c>
      <c r="Q519" s="10">
        <f>10/25*C519</f>
        <v>10</v>
      </c>
      <c r="R519" s="10">
        <f>0.7/25*C519</f>
        <v>0.7</v>
      </c>
      <c r="S519" s="172">
        <f>7.73/25*C519</f>
        <v>7.73</v>
      </c>
      <c r="T519" s="10">
        <f>12.75/25*C519</f>
        <v>12.75</v>
      </c>
    </row>
    <row r="520" spans="1:20" ht="15" customHeight="1" x14ac:dyDescent="0.25">
      <c r="A520" s="15" t="s">
        <v>124</v>
      </c>
      <c r="B520" s="32" t="s">
        <v>24</v>
      </c>
      <c r="C520" s="16">
        <v>45</v>
      </c>
      <c r="D520" s="25">
        <f>3.4/45*C520</f>
        <v>3.4</v>
      </c>
      <c r="E520" s="25">
        <f>0.4/45*C520</f>
        <v>0.4</v>
      </c>
      <c r="F520" s="25">
        <f>22.1/45*C520</f>
        <v>22.1</v>
      </c>
      <c r="G520" s="25">
        <f>105.8/45*C520</f>
        <v>105.8</v>
      </c>
      <c r="H520" s="25">
        <f>0.05/45*C520</f>
        <v>0.05</v>
      </c>
      <c r="I520" s="25">
        <f>0.01/45*C520</f>
        <v>0.01</v>
      </c>
      <c r="J520" s="25">
        <v>0</v>
      </c>
      <c r="K520" s="25">
        <v>0</v>
      </c>
      <c r="L520" s="25">
        <v>0</v>
      </c>
      <c r="M520" s="25">
        <f>46.5/45*C520</f>
        <v>46.500000000000007</v>
      </c>
      <c r="N520" s="27">
        <f>10/45*C520</f>
        <v>10</v>
      </c>
      <c r="O520" s="27">
        <f>7/45*C520</f>
        <v>7</v>
      </c>
      <c r="P520" s="27">
        <f>32.5/45*C520</f>
        <v>32.5</v>
      </c>
      <c r="Q520" s="27">
        <f>1.6/45*C520</f>
        <v>1.6</v>
      </c>
      <c r="R520" s="27">
        <f>0.55/45*C520</f>
        <v>0.55000000000000004</v>
      </c>
      <c r="S520" s="166">
        <f>3/45*C520</f>
        <v>3</v>
      </c>
      <c r="T520" s="27">
        <f>7.5/45*C520</f>
        <v>7.5</v>
      </c>
    </row>
    <row r="521" spans="1:20" ht="15" customHeight="1" x14ac:dyDescent="0.25">
      <c r="A521" s="15"/>
      <c r="B521" s="4"/>
      <c r="C521" s="16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2"/>
      <c r="O521" s="12"/>
      <c r="P521" s="12"/>
      <c r="Q521" s="12"/>
      <c r="R521" s="12"/>
      <c r="S521" s="157"/>
      <c r="T521" s="12"/>
    </row>
    <row r="522" spans="1:20" ht="15" customHeight="1" x14ac:dyDescent="0.25">
      <c r="A522" s="17"/>
      <c r="B522" s="6" t="s">
        <v>25</v>
      </c>
      <c r="C522" s="17">
        <f t="shared" ref="C522:T522" si="72">SUM(C516:C520)</f>
        <v>500</v>
      </c>
      <c r="D522" s="82">
        <f t="shared" si="72"/>
        <v>19</v>
      </c>
      <c r="E522" s="82">
        <f t="shared" si="72"/>
        <v>17.149999999999999</v>
      </c>
      <c r="F522" s="82">
        <f t="shared" si="72"/>
        <v>73.170000000000016</v>
      </c>
      <c r="G522" s="82">
        <f t="shared" si="72"/>
        <v>470.6</v>
      </c>
      <c r="H522" s="82">
        <f t="shared" si="72"/>
        <v>0.30399999999999999</v>
      </c>
      <c r="I522" s="82">
        <f t="shared" si="72"/>
        <v>0.29700000000000004</v>
      </c>
      <c r="J522" s="82">
        <f t="shared" si="72"/>
        <v>77.31</v>
      </c>
      <c r="K522" s="82">
        <f t="shared" si="72"/>
        <v>0.20700000000000002</v>
      </c>
      <c r="L522" s="82">
        <f t="shared" si="72"/>
        <v>0.81099999999999994</v>
      </c>
      <c r="M522" s="82">
        <f t="shared" si="72"/>
        <v>372.5</v>
      </c>
      <c r="N522" s="82">
        <f t="shared" si="72"/>
        <v>197.25</v>
      </c>
      <c r="O522" s="83">
        <f t="shared" si="72"/>
        <v>71.400000000000006</v>
      </c>
      <c r="P522" s="83">
        <f t="shared" si="72"/>
        <v>280.75</v>
      </c>
      <c r="Q522" s="83">
        <f t="shared" si="72"/>
        <v>13.67</v>
      </c>
      <c r="R522" s="83">
        <f t="shared" si="72"/>
        <v>58.45</v>
      </c>
      <c r="S522" s="158">
        <f t="shared" si="72"/>
        <v>21.774999999999999</v>
      </c>
      <c r="T522" s="83">
        <f t="shared" si="72"/>
        <v>75.55</v>
      </c>
    </row>
    <row r="523" spans="1:20" ht="15" customHeight="1" x14ac:dyDescent="0.25">
      <c r="A523" s="289" t="s">
        <v>26</v>
      </c>
      <c r="B523" s="297"/>
      <c r="C523" s="297"/>
      <c r="D523" s="297"/>
      <c r="E523" s="297"/>
      <c r="F523" s="297"/>
      <c r="G523" s="297"/>
      <c r="H523" s="312"/>
      <c r="I523" s="312"/>
      <c r="J523" s="312"/>
      <c r="K523" s="312"/>
      <c r="L523" s="312"/>
      <c r="M523" s="313"/>
      <c r="N523" s="313"/>
      <c r="O523" s="313"/>
      <c r="P523" s="313"/>
      <c r="Q523" s="313"/>
      <c r="R523" s="313"/>
      <c r="S523" s="313"/>
      <c r="T523" s="314"/>
    </row>
    <row r="524" spans="1:20" ht="15" customHeight="1" x14ac:dyDescent="0.25">
      <c r="A524" s="8" t="s">
        <v>127</v>
      </c>
      <c r="B524" s="32" t="s">
        <v>75</v>
      </c>
      <c r="C524" s="28">
        <v>50</v>
      </c>
      <c r="D524" s="56">
        <f>0.7/60*C524</f>
        <v>0.58333333333333326</v>
      </c>
      <c r="E524" s="21">
        <f>0.1/60*C524</f>
        <v>8.3333333333333343E-2</v>
      </c>
      <c r="F524" s="21">
        <f>2.3/60*C524</f>
        <v>1.9166666666666665</v>
      </c>
      <c r="G524" s="21">
        <f>12.8/60*C524</f>
        <v>10.666666666666668</v>
      </c>
      <c r="H524" s="25">
        <f>0.04/60*C524</f>
        <v>3.3333333333333333E-2</v>
      </c>
      <c r="I524" s="25">
        <f>0.02/60*C524</f>
        <v>1.6666666666666666E-2</v>
      </c>
      <c r="J524" s="61">
        <f>79.8/60*C524</f>
        <v>66.499999999999986</v>
      </c>
      <c r="K524" s="61">
        <v>0</v>
      </c>
      <c r="L524" s="61">
        <f>15/60*C524</f>
        <v>12.5</v>
      </c>
      <c r="M524" s="61">
        <f>174/60*C524</f>
        <v>145</v>
      </c>
      <c r="N524" s="61">
        <f>8.4/60*C524</f>
        <v>7.0000000000000009</v>
      </c>
      <c r="O524" s="61">
        <f>12/60*C524</f>
        <v>10</v>
      </c>
      <c r="P524" s="25">
        <f>16/60*C524</f>
        <v>13.333333333333334</v>
      </c>
      <c r="Q524" s="61">
        <f>0.54/60*C524</f>
        <v>0.45000000000000007</v>
      </c>
      <c r="R524" s="61">
        <f>1.2/60*C524</f>
        <v>1</v>
      </c>
      <c r="S524" s="133">
        <f>0.24/60*C524</f>
        <v>0.2</v>
      </c>
      <c r="T524" s="61">
        <f>12/60*C524</f>
        <v>10</v>
      </c>
    </row>
    <row r="525" spans="1:20" ht="15" customHeight="1" x14ac:dyDescent="0.25">
      <c r="A525" s="270" t="s">
        <v>174</v>
      </c>
      <c r="B525" s="40" t="s">
        <v>173</v>
      </c>
      <c r="C525" s="24">
        <v>200</v>
      </c>
      <c r="D525" s="21">
        <f>2.34/200*C525</f>
        <v>2.34</v>
      </c>
      <c r="E525" s="21">
        <f>3.89/200*C525</f>
        <v>3.8900000000000006</v>
      </c>
      <c r="F525" s="21">
        <f>13.61/200*C525</f>
        <v>13.61</v>
      </c>
      <c r="G525" s="21">
        <f>198.1/200*C525</f>
        <v>198.1</v>
      </c>
      <c r="H525" s="21">
        <f>205.4/200*C525</f>
        <v>205.40000000000003</v>
      </c>
      <c r="I525" s="21">
        <f>0.02/200*C525</f>
        <v>0.02</v>
      </c>
      <c r="J525" s="21">
        <f>0.05/200*C525</f>
        <v>0.05</v>
      </c>
      <c r="K525" s="21">
        <f>0.3/200*C525</f>
        <v>0.3</v>
      </c>
      <c r="L525" s="21">
        <f>13.8/200*C525</f>
        <v>13.8</v>
      </c>
      <c r="M525" s="21">
        <f>0.99/200*C525</f>
        <v>0.98999999999999988</v>
      </c>
      <c r="N525" s="21">
        <v>1E-3</v>
      </c>
      <c r="O525" s="21">
        <v>0</v>
      </c>
      <c r="P525" s="21">
        <f>245/200*C525</f>
        <v>245.00000000000003</v>
      </c>
      <c r="Q525" s="21">
        <v>0</v>
      </c>
      <c r="R525" s="21">
        <v>0</v>
      </c>
      <c r="S525" s="89">
        <v>1E-3</v>
      </c>
      <c r="T525" s="21">
        <v>0</v>
      </c>
    </row>
    <row r="526" spans="1:20" ht="15" customHeight="1" x14ac:dyDescent="0.25">
      <c r="A526" s="270" t="s">
        <v>189</v>
      </c>
      <c r="B526" s="32" t="s">
        <v>60</v>
      </c>
      <c r="C526" s="16">
        <v>100</v>
      </c>
      <c r="D526" s="11">
        <v>15.4</v>
      </c>
      <c r="E526" s="11">
        <v>10.6</v>
      </c>
      <c r="F526" s="11">
        <v>25.6</v>
      </c>
      <c r="G526" s="11">
        <f>128.4/100*C526</f>
        <v>128.4</v>
      </c>
      <c r="H526" s="11">
        <f>0.03/100*C526</f>
        <v>0.03</v>
      </c>
      <c r="I526" s="11">
        <f>0.07/100*C526</f>
        <v>7.0000000000000007E-2</v>
      </c>
      <c r="J526" s="11">
        <f>9.18/100*C526</f>
        <v>9.18</v>
      </c>
      <c r="K526" s="11">
        <f>0.14/100*C526</f>
        <v>0.14000000000000001</v>
      </c>
      <c r="L526" s="11">
        <f>11/100*C526</f>
        <v>11</v>
      </c>
      <c r="M526" s="11">
        <f>271/100*C526</f>
        <v>271</v>
      </c>
      <c r="N526" s="12">
        <f>32/100*C526</f>
        <v>32</v>
      </c>
      <c r="O526" s="12">
        <f>19/100*C526</f>
        <v>19</v>
      </c>
      <c r="P526" s="12">
        <f>92/100*C526</f>
        <v>92</v>
      </c>
      <c r="Q526" s="12">
        <f>1.35/100*C526</f>
        <v>1.35</v>
      </c>
      <c r="R526" s="12">
        <f>17/100*C526</f>
        <v>17</v>
      </c>
      <c r="S526" s="12">
        <f>0.88/100*C526</f>
        <v>0.88</v>
      </c>
      <c r="T526" s="12">
        <f>36/100*C526</f>
        <v>36</v>
      </c>
    </row>
    <row r="527" spans="1:20" ht="15" customHeight="1" x14ac:dyDescent="0.25">
      <c r="A527" s="270" t="s">
        <v>131</v>
      </c>
      <c r="B527" s="5" t="s">
        <v>49</v>
      </c>
      <c r="C527" s="41">
        <v>50</v>
      </c>
      <c r="D527" s="42">
        <f>1.45/50*C527</f>
        <v>1.45</v>
      </c>
      <c r="E527" s="42">
        <f>8.25/50*C527</f>
        <v>8.25</v>
      </c>
      <c r="F527" s="42">
        <f>3.3/50*C527</f>
        <v>3.3000000000000003</v>
      </c>
      <c r="G527" s="42">
        <f>93.5/50*C527</f>
        <v>93.5</v>
      </c>
      <c r="H527" s="42">
        <f>0.01/50*C527</f>
        <v>0.01</v>
      </c>
      <c r="I527" s="42">
        <f>0.04/50*C527</f>
        <v>0.04</v>
      </c>
      <c r="J527" s="42">
        <f>38.8/50*C527</f>
        <v>38.799999999999997</v>
      </c>
      <c r="K527" s="42">
        <f>0.01/50*C527</f>
        <v>0.01</v>
      </c>
      <c r="L527" s="42">
        <f>0.08/50*C527</f>
        <v>0.08</v>
      </c>
      <c r="M527" s="42">
        <f>51.5/50*C527</f>
        <v>51.5</v>
      </c>
      <c r="N527" s="42">
        <f>40/50*C527</f>
        <v>40</v>
      </c>
      <c r="O527" s="42">
        <f>4.3/50*C527</f>
        <v>4.3</v>
      </c>
      <c r="P527" s="42">
        <f>28.5/50*C527</f>
        <v>28.499999999999996</v>
      </c>
      <c r="Q527" s="42">
        <f>0.12/50*C527</f>
        <v>0.12</v>
      </c>
      <c r="R527" s="42">
        <f>10.5/50*C527</f>
        <v>10.5</v>
      </c>
      <c r="S527" s="42">
        <f>0.32/50*C527</f>
        <v>0.32</v>
      </c>
      <c r="T527" s="42">
        <f>7.5/50*C527</f>
        <v>7.5</v>
      </c>
    </row>
    <row r="528" spans="1:20" ht="15" customHeight="1" x14ac:dyDescent="0.25">
      <c r="A528" s="270" t="s">
        <v>147</v>
      </c>
      <c r="B528" s="5" t="s">
        <v>28</v>
      </c>
      <c r="C528" s="24">
        <v>200</v>
      </c>
      <c r="D528" s="25">
        <f>0.5/200*C528</f>
        <v>0.5</v>
      </c>
      <c r="E528" s="25">
        <v>0</v>
      </c>
      <c r="F528" s="25">
        <f>19.8/200*C528</f>
        <v>19.8</v>
      </c>
      <c r="G528" s="86">
        <f>81/200*C528</f>
        <v>81</v>
      </c>
      <c r="H528" s="126">
        <v>0</v>
      </c>
      <c r="I528" s="126">
        <v>0</v>
      </c>
      <c r="J528" s="126">
        <f>15/200*C528</f>
        <v>15</v>
      </c>
      <c r="K528" s="126">
        <v>0</v>
      </c>
      <c r="L528" s="126">
        <f>0.02/200*C528</f>
        <v>0.02</v>
      </c>
      <c r="M528" s="126">
        <f>0.17/200*C528</f>
        <v>0.17</v>
      </c>
      <c r="N528" s="126">
        <f>50/200*C528</f>
        <v>50</v>
      </c>
      <c r="O528" s="126">
        <f>2.1/200*C530</f>
        <v>0.42000000000000004</v>
      </c>
      <c r="P528" s="126">
        <f>4.3/200*C528</f>
        <v>4.3</v>
      </c>
      <c r="Q528" s="126">
        <f>0.09/200*C528</f>
        <v>0.09</v>
      </c>
      <c r="R528" s="126">
        <v>0</v>
      </c>
      <c r="S528" s="233">
        <v>0</v>
      </c>
      <c r="T528" s="126">
        <v>0</v>
      </c>
    </row>
    <row r="529" spans="1:20" ht="15" customHeight="1" x14ac:dyDescent="0.25">
      <c r="A529" s="95" t="s">
        <v>124</v>
      </c>
      <c r="B529" s="35" t="s">
        <v>23</v>
      </c>
      <c r="C529" s="6">
        <v>60</v>
      </c>
      <c r="D529" s="10">
        <f>1.5/25*C529</f>
        <v>3.5999999999999996</v>
      </c>
      <c r="E529" s="10">
        <f>0.5/25*C529</f>
        <v>1.2</v>
      </c>
      <c r="F529" s="10">
        <f>10.2/25*C529</f>
        <v>24.479999999999997</v>
      </c>
      <c r="G529" s="10">
        <f>52/25*C529</f>
        <v>124.80000000000001</v>
      </c>
      <c r="H529" s="10">
        <f>0.1/25*C529</f>
        <v>0.24</v>
      </c>
      <c r="I529" s="10">
        <f>0.08/25*C529</f>
        <v>0.192</v>
      </c>
      <c r="J529" s="10">
        <v>0</v>
      </c>
      <c r="K529" s="10">
        <v>0</v>
      </c>
      <c r="L529" s="10">
        <f>0.1/25*C529</f>
        <v>0.24</v>
      </c>
      <c r="M529" s="10">
        <f>41.5/25*C529</f>
        <v>99.6</v>
      </c>
      <c r="N529" s="10">
        <f>19.75/25*C529</f>
        <v>47.400000000000006</v>
      </c>
      <c r="O529" s="10">
        <f>10/25*C529</f>
        <v>24</v>
      </c>
      <c r="P529" s="10">
        <f>31.25/25*C529</f>
        <v>75</v>
      </c>
      <c r="Q529" s="10">
        <f>10/25*C529</f>
        <v>24</v>
      </c>
      <c r="R529" s="10">
        <f>0.7/25*C529</f>
        <v>1.6799999999999997</v>
      </c>
      <c r="S529" s="172">
        <f>7.73/25*C529</f>
        <v>18.552000000000003</v>
      </c>
      <c r="T529" s="10">
        <f>12.75/25*C529</f>
        <v>30.6</v>
      </c>
    </row>
    <row r="530" spans="1:20" ht="15" customHeight="1" x14ac:dyDescent="0.25">
      <c r="A530" s="95" t="s">
        <v>124</v>
      </c>
      <c r="B530" s="32" t="s">
        <v>24</v>
      </c>
      <c r="C530" s="16">
        <v>40</v>
      </c>
      <c r="D530" s="25">
        <f>3.4/45*C530</f>
        <v>3.0222222222222221</v>
      </c>
      <c r="E530" s="25">
        <f>0.4/45*C530</f>
        <v>0.35555555555555557</v>
      </c>
      <c r="F530" s="25">
        <f>22.1/45*C530</f>
        <v>19.644444444444446</v>
      </c>
      <c r="G530" s="25">
        <f>105.8/45*C530</f>
        <v>94.044444444444437</v>
      </c>
      <c r="H530" s="25">
        <f>0.05/45*C530</f>
        <v>4.4444444444444446E-2</v>
      </c>
      <c r="I530" s="25">
        <f>0.01/45*C530</f>
        <v>8.8888888888888889E-3</v>
      </c>
      <c r="J530" s="25">
        <v>0</v>
      </c>
      <c r="K530" s="25">
        <v>0</v>
      </c>
      <c r="L530" s="25">
        <v>0</v>
      </c>
      <c r="M530" s="25">
        <f>46.5/45*C530</f>
        <v>41.333333333333336</v>
      </c>
      <c r="N530" s="27">
        <f>10/45*C530</f>
        <v>8.8888888888888893</v>
      </c>
      <c r="O530" s="27">
        <f>7/45*C530</f>
        <v>6.2222222222222223</v>
      </c>
      <c r="P530" s="27">
        <f>32.5/45*C530</f>
        <v>28.888888888888889</v>
      </c>
      <c r="Q530" s="27">
        <f>1.6/45*C530</f>
        <v>1.4222222222222223</v>
      </c>
      <c r="R530" s="27">
        <f>0.55/45*C530</f>
        <v>0.48888888888888893</v>
      </c>
      <c r="S530" s="166">
        <f>3/45*C530</f>
        <v>2.6666666666666665</v>
      </c>
      <c r="T530" s="27">
        <f>7.5/45*C530</f>
        <v>6.6666666666666661</v>
      </c>
    </row>
    <row r="531" spans="1:20" ht="15" customHeight="1" x14ac:dyDescent="0.25">
      <c r="A531" s="95"/>
      <c r="B531" s="243"/>
      <c r="C531" s="263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264"/>
      <c r="O531" s="264"/>
      <c r="P531" s="264"/>
      <c r="Q531" s="264"/>
      <c r="R531" s="264"/>
      <c r="S531" s="265"/>
      <c r="T531" s="264"/>
    </row>
    <row r="532" spans="1:20" ht="15" customHeight="1" x14ac:dyDescent="0.25">
      <c r="A532" s="4"/>
      <c r="B532" s="71" t="s">
        <v>29</v>
      </c>
      <c r="C532" s="98">
        <f t="shared" ref="C532:T532" si="73">SUM(C524:C530)</f>
        <v>700</v>
      </c>
      <c r="D532" s="75">
        <f t="shared" si="73"/>
        <v>26.895555555555557</v>
      </c>
      <c r="E532" s="71">
        <f t="shared" si="73"/>
        <v>24.378888888888888</v>
      </c>
      <c r="F532" s="71">
        <f t="shared" si="73"/>
        <v>108.35111111111109</v>
      </c>
      <c r="G532" s="75">
        <f t="shared" si="73"/>
        <v>730.51111111111118</v>
      </c>
      <c r="H532" s="71">
        <f t="shared" si="73"/>
        <v>205.75777777777782</v>
      </c>
      <c r="I532" s="71">
        <f t="shared" si="73"/>
        <v>0.34755555555555556</v>
      </c>
      <c r="J532" s="71">
        <f t="shared" si="73"/>
        <v>129.52999999999997</v>
      </c>
      <c r="K532" s="71">
        <f t="shared" si="73"/>
        <v>0.45</v>
      </c>
      <c r="L532" s="71">
        <f t="shared" si="73"/>
        <v>37.64</v>
      </c>
      <c r="M532" s="71">
        <f t="shared" si="73"/>
        <v>609.59333333333336</v>
      </c>
      <c r="N532" s="71">
        <f t="shared" si="73"/>
        <v>185.2898888888889</v>
      </c>
      <c r="O532" s="71">
        <f t="shared" si="73"/>
        <v>63.94222222222222</v>
      </c>
      <c r="P532" s="71">
        <f t="shared" si="73"/>
        <v>487.0222222222223</v>
      </c>
      <c r="Q532" s="71">
        <f t="shared" si="73"/>
        <v>27.432222222222222</v>
      </c>
      <c r="R532" s="71">
        <f t="shared" si="73"/>
        <v>30.668888888888887</v>
      </c>
      <c r="S532" s="71">
        <f t="shared" si="73"/>
        <v>22.619666666666671</v>
      </c>
      <c r="T532" s="71">
        <f t="shared" si="73"/>
        <v>90.766666666666666</v>
      </c>
    </row>
    <row r="533" spans="1:20" ht="15" customHeight="1" x14ac:dyDescent="0.25">
      <c r="A533" s="298" t="s">
        <v>30</v>
      </c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315"/>
    </row>
    <row r="534" spans="1:20" ht="15" customHeight="1" x14ac:dyDescent="0.25">
      <c r="A534" s="8"/>
      <c r="B534" s="32" t="s">
        <v>101</v>
      </c>
      <c r="C534" s="9">
        <v>60</v>
      </c>
      <c r="D534" s="10">
        <v>8.3000000000000007</v>
      </c>
      <c r="E534" s="10">
        <v>8.1999999999999993</v>
      </c>
      <c r="F534" s="10">
        <v>33.56</v>
      </c>
      <c r="G534" s="10">
        <v>301.2</v>
      </c>
      <c r="H534" s="61">
        <f>18/60*C534</f>
        <v>18</v>
      </c>
      <c r="I534" s="61">
        <v>0.03</v>
      </c>
      <c r="J534" s="61">
        <v>4.1399999999999997</v>
      </c>
      <c r="K534" s="61">
        <v>0</v>
      </c>
      <c r="L534" s="61">
        <v>0.7</v>
      </c>
      <c r="M534" s="61">
        <v>77.319999999999993</v>
      </c>
      <c r="N534" s="61">
        <v>9.56</v>
      </c>
      <c r="O534" s="61">
        <v>8.1999999999999993</v>
      </c>
      <c r="P534" s="61">
        <v>0</v>
      </c>
      <c r="Q534" s="61">
        <v>1.84</v>
      </c>
      <c r="R534" s="61">
        <v>0.46</v>
      </c>
      <c r="S534" s="133">
        <v>1.07</v>
      </c>
      <c r="T534" s="61">
        <v>32.11</v>
      </c>
    </row>
    <row r="535" spans="1:20" ht="15" customHeight="1" x14ac:dyDescent="0.25">
      <c r="A535" s="8" t="s">
        <v>140</v>
      </c>
      <c r="B535" s="32" t="s">
        <v>20</v>
      </c>
      <c r="C535" s="9">
        <v>240</v>
      </c>
      <c r="D535" s="10">
        <v>0.2</v>
      </c>
      <c r="E535" s="10">
        <v>0</v>
      </c>
      <c r="F535" s="10">
        <v>6.5</v>
      </c>
      <c r="G535" s="10">
        <v>26.8</v>
      </c>
      <c r="H535" s="60">
        <v>0</v>
      </c>
      <c r="I535" s="60">
        <v>0.01</v>
      </c>
      <c r="J535" s="60">
        <v>0.3</v>
      </c>
      <c r="K535" s="60">
        <v>0</v>
      </c>
      <c r="L535" s="60">
        <v>0.04</v>
      </c>
      <c r="M535" s="38">
        <v>20.8</v>
      </c>
      <c r="N535" s="39">
        <v>4.5</v>
      </c>
      <c r="O535" s="39">
        <v>3.8</v>
      </c>
      <c r="P535" s="39">
        <v>7.2</v>
      </c>
      <c r="Q535" s="39">
        <v>0.73</v>
      </c>
      <c r="R535" s="39">
        <v>0</v>
      </c>
      <c r="S535" s="175">
        <v>0</v>
      </c>
      <c r="T535" s="12">
        <v>0</v>
      </c>
    </row>
    <row r="536" spans="1:20" ht="15" customHeight="1" x14ac:dyDescent="0.25">
      <c r="A536" s="4"/>
      <c r="B536" s="4"/>
      <c r="C536" s="29"/>
      <c r="D536" s="30"/>
      <c r="E536" s="30"/>
      <c r="F536" s="30"/>
      <c r="G536" s="30"/>
      <c r="H536" s="30"/>
      <c r="I536" s="30"/>
      <c r="J536" s="31"/>
      <c r="K536" s="30"/>
      <c r="L536" s="30"/>
      <c r="M536" s="30"/>
      <c r="N536" s="30"/>
      <c r="O536" s="30"/>
      <c r="P536" s="30"/>
      <c r="Q536" s="30"/>
      <c r="R536" s="30"/>
      <c r="S536" s="161"/>
      <c r="T536" s="30"/>
    </row>
    <row r="537" spans="1:20" ht="15" customHeight="1" x14ac:dyDescent="0.25">
      <c r="A537" s="4"/>
      <c r="B537" s="28" t="s">
        <v>32</v>
      </c>
      <c r="C537" s="29">
        <f>SUM(C534:C535)</f>
        <v>300</v>
      </c>
      <c r="D537" s="30">
        <f>SUM(D534:D535)</f>
        <v>8.5</v>
      </c>
      <c r="E537" s="30">
        <f t="shared" ref="E537:Q537" si="74">SUM(E534:E535)</f>
        <v>8.1999999999999993</v>
      </c>
      <c r="F537" s="30">
        <f t="shared" si="74"/>
        <v>40.06</v>
      </c>
      <c r="G537" s="30">
        <f t="shared" si="74"/>
        <v>328</v>
      </c>
      <c r="H537" s="30">
        <f t="shared" si="74"/>
        <v>18</v>
      </c>
      <c r="I537" s="30">
        <f t="shared" si="74"/>
        <v>0.04</v>
      </c>
      <c r="J537" s="30">
        <f t="shared" si="74"/>
        <v>4.4399999999999995</v>
      </c>
      <c r="K537" s="30">
        <f t="shared" si="74"/>
        <v>0</v>
      </c>
      <c r="L537" s="30">
        <f t="shared" si="74"/>
        <v>0.74</v>
      </c>
      <c r="M537" s="30">
        <f t="shared" si="74"/>
        <v>98.11999999999999</v>
      </c>
      <c r="N537" s="30">
        <f t="shared" si="74"/>
        <v>14.06</v>
      </c>
      <c r="O537" s="30">
        <f t="shared" si="74"/>
        <v>12</v>
      </c>
      <c r="P537" s="30">
        <f t="shared" si="74"/>
        <v>7.2</v>
      </c>
      <c r="Q537" s="30">
        <f t="shared" si="74"/>
        <v>2.5700000000000003</v>
      </c>
      <c r="R537" s="30">
        <f>SUM(R534:R535)</f>
        <v>0.46</v>
      </c>
      <c r="S537" s="161">
        <f>SUM(S534:S535)</f>
        <v>1.07</v>
      </c>
      <c r="T537" s="30">
        <f>SUM(T534:T535)</f>
        <v>32.11</v>
      </c>
    </row>
    <row r="538" spans="1:20" ht="15" customHeight="1" x14ac:dyDescent="0.25">
      <c r="A538" s="4"/>
      <c r="B538" s="28" t="s">
        <v>33</v>
      </c>
      <c r="C538" s="29">
        <f t="shared" ref="C538:Q538" si="75">C537+C532+C522</f>
        <v>1500</v>
      </c>
      <c r="D538" s="30">
        <f t="shared" si="75"/>
        <v>54.395555555555561</v>
      </c>
      <c r="E538" s="29">
        <f t="shared" si="75"/>
        <v>49.728888888888882</v>
      </c>
      <c r="F538" s="29">
        <f t="shared" si="75"/>
        <v>221.58111111111111</v>
      </c>
      <c r="G538" s="30">
        <f t="shared" si="75"/>
        <v>1529.1111111111113</v>
      </c>
      <c r="H538" s="29">
        <f t="shared" si="75"/>
        <v>224.06177777777782</v>
      </c>
      <c r="I538" s="29">
        <f t="shared" si="75"/>
        <v>0.68455555555555558</v>
      </c>
      <c r="J538" s="29">
        <f t="shared" si="75"/>
        <v>211.27999999999997</v>
      </c>
      <c r="K538" s="29">
        <f t="shared" si="75"/>
        <v>0.65700000000000003</v>
      </c>
      <c r="L538" s="29">
        <f t="shared" si="75"/>
        <v>39.191000000000003</v>
      </c>
      <c r="M538" s="29">
        <f t="shared" si="75"/>
        <v>1080.2133333333334</v>
      </c>
      <c r="N538" s="29">
        <f t="shared" si="75"/>
        <v>396.59988888888893</v>
      </c>
      <c r="O538" s="29">
        <f t="shared" si="75"/>
        <v>147.34222222222223</v>
      </c>
      <c r="P538" s="29">
        <f t="shared" si="75"/>
        <v>774.97222222222229</v>
      </c>
      <c r="Q538" s="29">
        <f t="shared" si="75"/>
        <v>43.672222222222224</v>
      </c>
      <c r="R538" s="29">
        <f>R537+R532+R522</f>
        <v>89.578888888888883</v>
      </c>
      <c r="S538" s="162">
        <f>S537+S532+S522</f>
        <v>45.464666666666673</v>
      </c>
      <c r="T538" s="29">
        <f>T537+T532+T522</f>
        <v>198.42666666666668</v>
      </c>
    </row>
    <row r="539" spans="1:20" ht="15" customHeight="1" x14ac:dyDescent="0.25">
      <c r="A539" s="293" t="s">
        <v>195</v>
      </c>
      <c r="B539" s="294"/>
      <c r="C539" s="294"/>
      <c r="D539" s="294"/>
      <c r="E539" s="294"/>
      <c r="F539" s="294"/>
      <c r="G539" s="294"/>
      <c r="H539" s="294"/>
      <c r="I539" s="294"/>
      <c r="J539" s="294"/>
      <c r="K539" s="294"/>
      <c r="L539" s="294"/>
      <c r="M539" s="294"/>
      <c r="N539" s="294"/>
      <c r="O539" s="294"/>
      <c r="P539" s="294"/>
      <c r="Q539" s="294"/>
      <c r="R539" s="294"/>
      <c r="S539" s="294"/>
      <c r="T539" s="307"/>
    </row>
    <row r="540" spans="1:20" ht="15" customHeight="1" x14ac:dyDescent="0.25">
      <c r="A540" s="293" t="s">
        <v>207</v>
      </c>
      <c r="B540" s="294"/>
      <c r="C540" s="294"/>
      <c r="D540" s="294"/>
      <c r="E540" s="294"/>
      <c r="F540" s="294"/>
      <c r="G540" s="294"/>
      <c r="H540" s="294"/>
      <c r="I540" s="294"/>
      <c r="J540" s="294"/>
      <c r="K540" s="294"/>
      <c r="L540" s="294"/>
      <c r="M540" s="294"/>
      <c r="N540" s="294"/>
      <c r="O540" s="294"/>
      <c r="P540" s="294"/>
      <c r="Q540" s="294"/>
      <c r="R540" s="294"/>
      <c r="S540" s="294"/>
      <c r="T540" s="307"/>
    </row>
    <row r="541" spans="1:20" ht="15" customHeight="1" x14ac:dyDescent="0.25">
      <c r="A541" s="285" t="s">
        <v>18</v>
      </c>
      <c r="B541" s="286"/>
      <c r="C541" s="286"/>
      <c r="D541" s="286"/>
      <c r="E541" s="286"/>
      <c r="F541" s="286"/>
      <c r="G541" s="286"/>
      <c r="H541" s="286"/>
      <c r="I541" s="286"/>
      <c r="J541" s="286"/>
      <c r="K541" s="286"/>
      <c r="L541" s="286"/>
      <c r="M541" s="286"/>
      <c r="N541" s="286"/>
      <c r="O541" s="286"/>
      <c r="P541" s="286"/>
      <c r="Q541" s="286"/>
      <c r="R541" s="286"/>
      <c r="S541" s="286"/>
      <c r="T541" s="308"/>
    </row>
    <row r="542" spans="1:20" ht="15" customHeight="1" x14ac:dyDescent="0.25">
      <c r="A542" s="287" t="s">
        <v>19</v>
      </c>
      <c r="B542" s="296"/>
      <c r="C542" s="296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309"/>
    </row>
    <row r="543" spans="1:20" ht="15" customHeight="1" x14ac:dyDescent="0.25">
      <c r="A543" s="8" t="s">
        <v>179</v>
      </c>
      <c r="B543" s="32" t="s">
        <v>190</v>
      </c>
      <c r="C543" s="20">
        <v>200</v>
      </c>
      <c r="D543" s="61">
        <f>7.2/200*C543</f>
        <v>7.2000000000000011</v>
      </c>
      <c r="E543" s="61">
        <f>9.2/200*C543</f>
        <v>9.1999999999999993</v>
      </c>
      <c r="F543" s="61">
        <v>34</v>
      </c>
      <c r="G543" s="133">
        <f>287.8/200*C543</f>
        <v>287.8</v>
      </c>
      <c r="H543" s="61">
        <f>0.08/200*C543</f>
        <v>0.08</v>
      </c>
      <c r="I543" s="61">
        <f>0.16/200*C543</f>
        <v>0.16</v>
      </c>
      <c r="J543" s="61">
        <f>51.5/200*C543</f>
        <v>51.5</v>
      </c>
      <c r="K543" s="61">
        <f>0.13/200*C543</f>
        <v>0.13</v>
      </c>
      <c r="L543" s="61">
        <f>0.52/200*C543</f>
        <v>0.52</v>
      </c>
      <c r="M543" s="61">
        <f>193/200*C543</f>
        <v>193</v>
      </c>
      <c r="N543" s="61">
        <f>121/200*C543</f>
        <v>121</v>
      </c>
      <c r="O543" s="61">
        <f>27/200*C543</f>
        <v>27</v>
      </c>
      <c r="P543" s="61">
        <f>136/200*C543</f>
        <v>136</v>
      </c>
      <c r="Q543" s="61">
        <f>1.49/200*C543</f>
        <v>1.49</v>
      </c>
      <c r="R543" s="61">
        <f>49/200*C543</f>
        <v>49</v>
      </c>
      <c r="S543" s="61">
        <f>10.4/200*C543</f>
        <v>10.4</v>
      </c>
      <c r="T543" s="61">
        <f>20/200*C543</f>
        <v>20</v>
      </c>
    </row>
    <row r="544" spans="1:20" ht="15" customHeight="1" x14ac:dyDescent="0.25">
      <c r="A544" s="8" t="s">
        <v>150</v>
      </c>
      <c r="B544" s="32" t="s">
        <v>36</v>
      </c>
      <c r="C544" s="9">
        <v>230</v>
      </c>
      <c r="D544" s="10">
        <f>3.8/200*C544</f>
        <v>4.37</v>
      </c>
      <c r="E544" s="10">
        <f>2.9/200*C544</f>
        <v>3.335</v>
      </c>
      <c r="F544" s="10">
        <f>11.3/200*C544</f>
        <v>12.995000000000001</v>
      </c>
      <c r="G544" s="10">
        <f>86/200*C544</f>
        <v>98.899999999999991</v>
      </c>
      <c r="H544" s="10">
        <f>0.03/200*C544</f>
        <v>3.4499999999999996E-2</v>
      </c>
      <c r="I544" s="10">
        <f>0.13/200*C544</f>
        <v>0.14949999999999999</v>
      </c>
      <c r="J544" s="10">
        <f>13.3/200*C544</f>
        <v>15.295000000000002</v>
      </c>
      <c r="K544" s="10">
        <v>0</v>
      </c>
      <c r="L544" s="10">
        <f>0.52/200*C544</f>
        <v>0.59799999999999998</v>
      </c>
      <c r="M544" s="11">
        <f>184/200*C544</f>
        <v>211.60000000000002</v>
      </c>
      <c r="N544" s="12">
        <f>111/200*C544</f>
        <v>127.65</v>
      </c>
      <c r="O544" s="12">
        <f>31/200*C544</f>
        <v>35.65</v>
      </c>
      <c r="P544" s="12">
        <f>107/200*C544</f>
        <v>123.05000000000001</v>
      </c>
      <c r="Q544" s="12">
        <f>1.07/200*C544</f>
        <v>1.2305000000000001</v>
      </c>
      <c r="R544" s="12">
        <f>9/200*C544</f>
        <v>10.35</v>
      </c>
      <c r="S544" s="157">
        <f>1.76/200*C544</f>
        <v>2.024</v>
      </c>
      <c r="T544" s="12">
        <f>20/200*C544</f>
        <v>23</v>
      </c>
    </row>
    <row r="545" spans="1:20" ht="15" customHeight="1" x14ac:dyDescent="0.25">
      <c r="A545" s="14" t="s">
        <v>135</v>
      </c>
      <c r="B545" s="35" t="s">
        <v>22</v>
      </c>
      <c r="C545" s="6">
        <v>10</v>
      </c>
      <c r="D545" s="7">
        <f>3.5/15*C545</f>
        <v>2.3333333333333335</v>
      </c>
      <c r="E545" s="7">
        <f>4.4/15*C545</f>
        <v>2.9333333333333336</v>
      </c>
      <c r="F545" s="7">
        <v>0</v>
      </c>
      <c r="G545" s="7">
        <f>53.7/15*C545</f>
        <v>35.799999999999997</v>
      </c>
      <c r="H545" s="7">
        <f>0.01/15*C545</f>
        <v>6.6666666666666662E-3</v>
      </c>
      <c r="I545" s="7">
        <f>0.05/15*C545</f>
        <v>3.3333333333333333E-2</v>
      </c>
      <c r="J545" s="7">
        <f>39/15*C545</f>
        <v>26</v>
      </c>
      <c r="K545" s="7">
        <f>0.15/15*C545</f>
        <v>0.1</v>
      </c>
      <c r="L545" s="7">
        <f>0.11/15*C545</f>
        <v>7.3333333333333334E-2</v>
      </c>
      <c r="M545" s="7">
        <f>13/15*C545</f>
        <v>8.6666666666666679</v>
      </c>
      <c r="N545" s="7">
        <f>132/15*C545</f>
        <v>88</v>
      </c>
      <c r="O545" s="7">
        <f>5.3/15*C545</f>
        <v>3.5333333333333332</v>
      </c>
      <c r="P545" s="7">
        <f>75/15*C545</f>
        <v>50</v>
      </c>
      <c r="Q545" s="7">
        <f>0.15/15*C545</f>
        <v>0.1</v>
      </c>
      <c r="R545" s="7">
        <v>0</v>
      </c>
      <c r="S545" s="128">
        <f>2.18/15*C545</f>
        <v>1.4533333333333334</v>
      </c>
      <c r="T545" s="7">
        <v>0</v>
      </c>
    </row>
    <row r="546" spans="1:20" ht="15" customHeight="1" x14ac:dyDescent="0.25">
      <c r="A546" s="14" t="s">
        <v>124</v>
      </c>
      <c r="B546" s="35" t="s">
        <v>23</v>
      </c>
      <c r="C546" s="6">
        <v>25</v>
      </c>
      <c r="D546" s="10">
        <f>1.5/25*C546</f>
        <v>1.5</v>
      </c>
      <c r="E546" s="10">
        <f>0.5/25*C546</f>
        <v>0.5</v>
      </c>
      <c r="F546" s="10">
        <f>10.2/25*C546</f>
        <v>10.199999999999999</v>
      </c>
      <c r="G546" s="10">
        <f>52/25*C546</f>
        <v>52</v>
      </c>
      <c r="H546" s="10">
        <f>0.1/25*C546</f>
        <v>0.1</v>
      </c>
      <c r="I546" s="10">
        <f>0.08/25*C546</f>
        <v>0.08</v>
      </c>
      <c r="J546" s="10">
        <v>0</v>
      </c>
      <c r="K546" s="10">
        <v>0</v>
      </c>
      <c r="L546" s="10">
        <f>0.1/25*C546</f>
        <v>0.1</v>
      </c>
      <c r="M546" s="10">
        <f>41.5/25*C546</f>
        <v>41.5</v>
      </c>
      <c r="N546" s="10">
        <f>19.75/25*C546</f>
        <v>19.75</v>
      </c>
      <c r="O546" s="10">
        <f>10/25*C546</f>
        <v>10</v>
      </c>
      <c r="P546" s="10">
        <f>31.25/25*C546</f>
        <v>31.25</v>
      </c>
      <c r="Q546" s="10">
        <f>10/25*C546</f>
        <v>10</v>
      </c>
      <c r="R546" s="10">
        <f>0.7/25*C546</f>
        <v>0.7</v>
      </c>
      <c r="S546" s="172">
        <f>7.73/25*C546</f>
        <v>7.73</v>
      </c>
      <c r="T546" s="10">
        <f>12.75/25*C546</f>
        <v>12.75</v>
      </c>
    </row>
    <row r="547" spans="1:20" ht="15" customHeight="1" x14ac:dyDescent="0.25">
      <c r="A547" s="14" t="s">
        <v>124</v>
      </c>
      <c r="B547" s="32" t="s">
        <v>24</v>
      </c>
      <c r="C547" s="16">
        <v>45</v>
      </c>
      <c r="D547" s="25">
        <f>3.4/45*C547</f>
        <v>3.4</v>
      </c>
      <c r="E547" s="25">
        <f>0.4/45*C547</f>
        <v>0.4</v>
      </c>
      <c r="F547" s="25">
        <f>22.1/45*C547</f>
        <v>22.1</v>
      </c>
      <c r="G547" s="25">
        <f>105.8/45*C547</f>
        <v>105.8</v>
      </c>
      <c r="H547" s="25">
        <f>0.05/45*C547</f>
        <v>0.05</v>
      </c>
      <c r="I547" s="25">
        <f>0.01/45*C547</f>
        <v>0.01</v>
      </c>
      <c r="J547" s="25">
        <v>0</v>
      </c>
      <c r="K547" s="25">
        <v>0</v>
      </c>
      <c r="L547" s="25">
        <v>0</v>
      </c>
      <c r="M547" s="25">
        <f>46.5/45*C547</f>
        <v>46.500000000000007</v>
      </c>
      <c r="N547" s="27">
        <f>10/45*C547</f>
        <v>10</v>
      </c>
      <c r="O547" s="27">
        <f>7/45*C547</f>
        <v>7</v>
      </c>
      <c r="P547" s="27">
        <f>32.5/45*C547</f>
        <v>32.5</v>
      </c>
      <c r="Q547" s="27">
        <f>1.6/45*C547</f>
        <v>1.6</v>
      </c>
      <c r="R547" s="27">
        <f>0.55/45*C547</f>
        <v>0.55000000000000004</v>
      </c>
      <c r="S547" s="166">
        <f>3/45*C547</f>
        <v>3</v>
      </c>
      <c r="T547" s="27">
        <f>7.5/45*C547</f>
        <v>7.5</v>
      </c>
    </row>
    <row r="548" spans="1:20" ht="15" customHeight="1" x14ac:dyDescent="0.25">
      <c r="A548" s="15"/>
      <c r="B548" s="4"/>
      <c r="C548" s="16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2"/>
      <c r="O548" s="12"/>
      <c r="P548" s="12"/>
      <c r="Q548" s="12"/>
      <c r="R548" s="12"/>
      <c r="S548" s="157"/>
      <c r="T548" s="12"/>
    </row>
    <row r="549" spans="1:20" ht="15" customHeight="1" x14ac:dyDescent="0.25">
      <c r="A549" s="17"/>
      <c r="B549" s="6" t="s">
        <v>25</v>
      </c>
      <c r="C549" s="17">
        <f t="shared" ref="C549:T549" si="76">SUM(C543:C547)</f>
        <v>510</v>
      </c>
      <c r="D549" s="82">
        <f t="shared" si="76"/>
        <v>18.803333333333335</v>
      </c>
      <c r="E549" s="82">
        <f t="shared" si="76"/>
        <v>16.368333333333332</v>
      </c>
      <c r="F549" s="82">
        <f t="shared" si="76"/>
        <v>79.295000000000016</v>
      </c>
      <c r="G549" s="82">
        <f t="shared" si="76"/>
        <v>580.29999999999995</v>
      </c>
      <c r="H549" s="82">
        <f t="shared" si="76"/>
        <v>0.27116666666666667</v>
      </c>
      <c r="I549" s="82">
        <f t="shared" si="76"/>
        <v>0.43283333333333335</v>
      </c>
      <c r="J549" s="82">
        <f t="shared" si="76"/>
        <v>92.795000000000002</v>
      </c>
      <c r="K549" s="82">
        <f t="shared" si="76"/>
        <v>0.23</v>
      </c>
      <c r="L549" s="82">
        <f t="shared" si="76"/>
        <v>1.2913333333333332</v>
      </c>
      <c r="M549" s="82">
        <f t="shared" si="76"/>
        <v>501.26666666666671</v>
      </c>
      <c r="N549" s="82">
        <f t="shared" si="76"/>
        <v>366.4</v>
      </c>
      <c r="O549" s="83">
        <f t="shared" si="76"/>
        <v>83.183333333333337</v>
      </c>
      <c r="P549" s="83">
        <f t="shared" si="76"/>
        <v>372.8</v>
      </c>
      <c r="Q549" s="83">
        <f t="shared" si="76"/>
        <v>14.420500000000001</v>
      </c>
      <c r="R549" s="83">
        <f t="shared" si="76"/>
        <v>60.6</v>
      </c>
      <c r="S549" s="158">
        <f t="shared" si="76"/>
        <v>24.607333333333333</v>
      </c>
      <c r="T549" s="83">
        <f t="shared" si="76"/>
        <v>63.25</v>
      </c>
    </row>
    <row r="550" spans="1:20" ht="15" customHeight="1" x14ac:dyDescent="0.25">
      <c r="A550" s="289" t="s">
        <v>26</v>
      </c>
      <c r="B550" s="297"/>
      <c r="C550" s="297"/>
      <c r="D550" s="297"/>
      <c r="E550" s="297"/>
      <c r="F550" s="297"/>
      <c r="G550" s="297"/>
      <c r="H550" s="312"/>
      <c r="I550" s="312"/>
      <c r="J550" s="312"/>
      <c r="K550" s="312"/>
      <c r="L550" s="312"/>
      <c r="M550" s="313"/>
      <c r="N550" s="313"/>
      <c r="O550" s="313"/>
      <c r="P550" s="313"/>
      <c r="Q550" s="313"/>
      <c r="R550" s="313"/>
      <c r="S550" s="313"/>
      <c r="T550" s="314"/>
    </row>
    <row r="551" spans="1:20" ht="15" customHeight="1" x14ac:dyDescent="0.25">
      <c r="A551" s="19">
        <v>9</v>
      </c>
      <c r="B551" s="201" t="s">
        <v>84</v>
      </c>
      <c r="C551" s="46">
        <v>50</v>
      </c>
      <c r="D551" s="220">
        <f>0.8/60*C551</f>
        <v>0.66666666666666674</v>
      </c>
      <c r="E551" s="220">
        <f>2/60*C551</f>
        <v>1.6666666666666667</v>
      </c>
      <c r="F551" s="220">
        <f>4.1/60*C551</f>
        <v>3.4166666666666665</v>
      </c>
      <c r="G551" s="220">
        <f>37.6/60*C551</f>
        <v>31.333333333333336</v>
      </c>
      <c r="H551" s="220">
        <f>0.03/60*C551</f>
        <v>2.5000000000000001E-2</v>
      </c>
      <c r="I551" s="220">
        <f>0.04/60*C551</f>
        <v>3.3333333333333333E-2</v>
      </c>
      <c r="J551" s="220">
        <f>793/60*C551</f>
        <v>660.83333333333337</v>
      </c>
      <c r="K551" s="220">
        <f>0.04/60*C551</f>
        <v>3.3333333333333333E-2</v>
      </c>
      <c r="L551" s="220">
        <f>1.31/60*C551</f>
        <v>1.0916666666666666</v>
      </c>
      <c r="M551" s="220">
        <f>109/60*C551</f>
        <v>90.833333333333329</v>
      </c>
      <c r="N551" s="220">
        <f>16/60*C551</f>
        <v>13.333333333333334</v>
      </c>
      <c r="O551" s="220">
        <f>22/60*C551</f>
        <v>18.333333333333332</v>
      </c>
      <c r="P551" s="220">
        <f>32/60*C551</f>
        <v>26.666666666666668</v>
      </c>
      <c r="Q551" s="220">
        <f>0.41/60*C551</f>
        <v>0.34166666666666662</v>
      </c>
      <c r="R551" s="220">
        <f>3.3/60*C551</f>
        <v>2.75</v>
      </c>
      <c r="S551" s="229">
        <f>0.09/60*C551</f>
        <v>7.4999999999999997E-2</v>
      </c>
      <c r="T551" s="126">
        <f>36/60*C551</f>
        <v>30</v>
      </c>
    </row>
    <row r="552" spans="1:20" ht="15" customHeight="1" x14ac:dyDescent="0.25">
      <c r="A552" s="141" t="s">
        <v>157</v>
      </c>
      <c r="B552" s="201" t="s">
        <v>52</v>
      </c>
      <c r="C552" s="46">
        <v>200</v>
      </c>
      <c r="D552" s="21">
        <f>3.23/200*C552</f>
        <v>3.2300000000000004</v>
      </c>
      <c r="E552" s="21">
        <f>5.78/200*C552</f>
        <v>5.78</v>
      </c>
      <c r="F552" s="21">
        <f>33.5/200*C552</f>
        <v>33.5</v>
      </c>
      <c r="G552" s="21">
        <f>284.1/200*C552</f>
        <v>284.10000000000002</v>
      </c>
      <c r="H552" s="61">
        <v>0.02</v>
      </c>
      <c r="I552" s="61">
        <f>0.03/200*C552</f>
        <v>0.03</v>
      </c>
      <c r="J552" s="61">
        <f>105/200*C552</f>
        <v>105</v>
      </c>
      <c r="K552" s="61">
        <v>0</v>
      </c>
      <c r="L552" s="61">
        <f>10.76/200*C552</f>
        <v>10.76</v>
      </c>
      <c r="M552" s="61">
        <f>184/200*C552</f>
        <v>184</v>
      </c>
      <c r="N552" s="61">
        <f>37.4/200*C552</f>
        <v>37.4</v>
      </c>
      <c r="O552" s="61">
        <f>13.2/200*C552</f>
        <v>13.200000000000001</v>
      </c>
      <c r="P552" s="61">
        <f>31/200*C552</f>
        <v>31</v>
      </c>
      <c r="Q552" s="61">
        <f>0.47/200*C552</f>
        <v>0.46999999999999992</v>
      </c>
      <c r="R552" s="61">
        <f>15.2/200*C552</f>
        <v>15.2</v>
      </c>
      <c r="S552" s="61">
        <f>0.34/200*C552</f>
        <v>0.34</v>
      </c>
      <c r="T552" s="61">
        <f>14.76/200*C552</f>
        <v>14.760000000000002</v>
      </c>
    </row>
    <row r="553" spans="1:20" ht="15" customHeight="1" x14ac:dyDescent="0.25">
      <c r="A553" s="270" t="s">
        <v>192</v>
      </c>
      <c r="B553" s="5" t="s">
        <v>85</v>
      </c>
      <c r="C553" s="90">
        <v>150</v>
      </c>
      <c r="D553" s="61">
        <f>5.9/200*C553</f>
        <v>4.4250000000000007</v>
      </c>
      <c r="E553" s="61">
        <f>7/200*C553</f>
        <v>5.2500000000000009</v>
      </c>
      <c r="F553" s="61">
        <v>20.45</v>
      </c>
      <c r="G553" s="25">
        <v>157.22999999999999</v>
      </c>
      <c r="H553" s="61">
        <f>0.06/200*C553</f>
        <v>4.4999999999999998E-2</v>
      </c>
      <c r="I553" s="61">
        <f>0.04/200*C553</f>
        <v>3.0000000000000002E-2</v>
      </c>
      <c r="J553" s="61">
        <f>27/200*C553</f>
        <v>20.25</v>
      </c>
      <c r="K553" s="61">
        <f>0.13/200*C553</f>
        <v>9.7499999999999989E-2</v>
      </c>
      <c r="L553" s="61">
        <v>0</v>
      </c>
      <c r="M553" s="61">
        <f>97.6/200*C553</f>
        <v>73.2</v>
      </c>
      <c r="N553" s="61">
        <f>26/200*C553</f>
        <v>19.5</v>
      </c>
      <c r="O553" s="61">
        <f>23/200*C553</f>
        <v>17.25</v>
      </c>
      <c r="P553" s="61">
        <f>190/200*C553</f>
        <v>142.5</v>
      </c>
      <c r="Q553" s="61">
        <f>1.07/200*C553</f>
        <v>0.8025000000000001</v>
      </c>
      <c r="R553" s="61">
        <f>20/200*C553</f>
        <v>15</v>
      </c>
      <c r="S553" s="133">
        <f>22.2/200*C553</f>
        <v>16.649999999999999</v>
      </c>
      <c r="T553" s="61">
        <f>0.3/200*C553</f>
        <v>0.22500000000000001</v>
      </c>
    </row>
    <row r="554" spans="1:20" ht="15" customHeight="1" x14ac:dyDescent="0.25">
      <c r="A554" s="269" t="s">
        <v>198</v>
      </c>
      <c r="B554" s="266" t="s">
        <v>86</v>
      </c>
      <c r="C554" s="134">
        <v>100</v>
      </c>
      <c r="D554" s="106">
        <v>11.3</v>
      </c>
      <c r="E554" s="106">
        <v>9.5399999999999991</v>
      </c>
      <c r="F554" s="106">
        <f>2.6/100*C554</f>
        <v>2.6</v>
      </c>
      <c r="G554" s="106">
        <f>91.4/100*C554</f>
        <v>91.4</v>
      </c>
      <c r="H554" s="106">
        <f>76.6/100*C554</f>
        <v>76.599999999999994</v>
      </c>
      <c r="I554" s="106">
        <f>0.03/100*C554</f>
        <v>0.03</v>
      </c>
      <c r="J554" s="106">
        <f>0.05/100*C554</f>
        <v>0.05</v>
      </c>
      <c r="K554" s="106">
        <v>0</v>
      </c>
      <c r="L554" s="106">
        <f>1.04/100*C554</f>
        <v>1.04</v>
      </c>
      <c r="M554" s="106">
        <f>123.84/100*C554</f>
        <v>123.83999999999999</v>
      </c>
      <c r="N554" s="107">
        <f>14.13/100*C554</f>
        <v>14.13</v>
      </c>
      <c r="O554" s="107">
        <f>11.76/100*C554</f>
        <v>11.76</v>
      </c>
      <c r="P554" s="107">
        <f>75.3/100*C554</f>
        <v>75.3</v>
      </c>
      <c r="Q554" s="107">
        <f>2.75/100*C554</f>
        <v>2.75</v>
      </c>
      <c r="R554" s="107">
        <f>0.74/100*C554</f>
        <v>0.74</v>
      </c>
      <c r="S554" s="171">
        <f>0.16/100*C554</f>
        <v>0.16</v>
      </c>
      <c r="T554" s="12">
        <v>0</v>
      </c>
    </row>
    <row r="555" spans="1:20" ht="15" customHeight="1" x14ac:dyDescent="0.25">
      <c r="A555" s="4">
        <v>233</v>
      </c>
      <c r="B555" s="5" t="s">
        <v>99</v>
      </c>
      <c r="C555" s="26">
        <v>200</v>
      </c>
      <c r="D555" s="61">
        <f>0.2/200*C555</f>
        <v>0.2</v>
      </c>
      <c r="E555" s="61">
        <f>0.1/200*C555</f>
        <v>0.1</v>
      </c>
      <c r="F555" s="61">
        <f>12.3/200*C555</f>
        <v>12.3</v>
      </c>
      <c r="G555" s="133">
        <f>50.5/200*C555</f>
        <v>50.5</v>
      </c>
      <c r="H555" s="126">
        <f>0.01/200*C555</f>
        <v>0.01</v>
      </c>
      <c r="I555" s="126">
        <f>0.01/200*C555</f>
        <v>0.01</v>
      </c>
      <c r="J555" s="126">
        <f>2.45/200*C555</f>
        <v>2.4500000000000002</v>
      </c>
      <c r="K555" s="126">
        <v>0</v>
      </c>
      <c r="L555" s="126">
        <f>19.2/200*C555</f>
        <v>19.2</v>
      </c>
      <c r="M555" s="126">
        <f>70.6/200*C555</f>
        <v>70.599999999999994</v>
      </c>
      <c r="N555" s="126">
        <f>9.8/200*C555</f>
        <v>9.8000000000000007</v>
      </c>
      <c r="O555" s="126">
        <f>6.5/200*C555</f>
        <v>6.5</v>
      </c>
      <c r="P555" s="126">
        <f>11/200*C555</f>
        <v>11</v>
      </c>
      <c r="Q555" s="126">
        <f>0.29/200*C555</f>
        <v>0.28999999999999998</v>
      </c>
      <c r="R555" s="126">
        <f>0.2/200*C555</f>
        <v>0.2</v>
      </c>
      <c r="S555" s="126">
        <f>0.23/200*C555</f>
        <v>0.22999999999999998</v>
      </c>
      <c r="T555" s="126">
        <f>4.08/200*C555</f>
        <v>4.08</v>
      </c>
    </row>
    <row r="556" spans="1:20" ht="15" customHeight="1" x14ac:dyDescent="0.25">
      <c r="A556" s="95" t="s">
        <v>124</v>
      </c>
      <c r="B556" s="35" t="s">
        <v>23</v>
      </c>
      <c r="C556" s="6">
        <v>60</v>
      </c>
      <c r="D556" s="10">
        <f>1.5/25*C556</f>
        <v>3.5999999999999996</v>
      </c>
      <c r="E556" s="10">
        <f>0.5/25*C556</f>
        <v>1.2</v>
      </c>
      <c r="F556" s="10">
        <f>10.2/25*C556</f>
        <v>24.479999999999997</v>
      </c>
      <c r="G556" s="10">
        <f>52/25*C556</f>
        <v>124.80000000000001</v>
      </c>
      <c r="H556" s="10">
        <f>0.1/25*C556</f>
        <v>0.24</v>
      </c>
      <c r="I556" s="10">
        <f>0.08/25*C556</f>
        <v>0.192</v>
      </c>
      <c r="J556" s="10">
        <v>0</v>
      </c>
      <c r="K556" s="10">
        <v>0</v>
      </c>
      <c r="L556" s="10">
        <f>0.1/25*C556</f>
        <v>0.24</v>
      </c>
      <c r="M556" s="10">
        <f>41.5/25*C556</f>
        <v>99.6</v>
      </c>
      <c r="N556" s="10">
        <f>19.75/25*C556</f>
        <v>47.400000000000006</v>
      </c>
      <c r="O556" s="10">
        <f>10/25*C556</f>
        <v>24</v>
      </c>
      <c r="P556" s="10">
        <f>31.25/25*C556</f>
        <v>75</v>
      </c>
      <c r="Q556" s="10">
        <f>10/25*C556</f>
        <v>24</v>
      </c>
      <c r="R556" s="10">
        <f>0.7/25*C556</f>
        <v>1.6799999999999997</v>
      </c>
      <c r="S556" s="172">
        <f>7.73/25*C556</f>
        <v>18.552000000000003</v>
      </c>
      <c r="T556" s="10">
        <f>12.75/25*C556</f>
        <v>30.6</v>
      </c>
    </row>
    <row r="557" spans="1:20" ht="15" customHeight="1" x14ac:dyDescent="0.25">
      <c r="A557" s="95" t="s">
        <v>124</v>
      </c>
      <c r="B557" s="32" t="s">
        <v>24</v>
      </c>
      <c r="C557" s="16">
        <v>30</v>
      </c>
      <c r="D557" s="25">
        <f>3.4/45*C557</f>
        <v>2.2666666666666666</v>
      </c>
      <c r="E557" s="25">
        <f>0.4/45*C557</f>
        <v>0.26666666666666666</v>
      </c>
      <c r="F557" s="25">
        <f>22.1/45*C557</f>
        <v>14.733333333333334</v>
      </c>
      <c r="G557" s="25">
        <f>105.8/45*C557</f>
        <v>70.533333333333331</v>
      </c>
      <c r="H557" s="25">
        <f>0.05/45*C557</f>
        <v>3.3333333333333333E-2</v>
      </c>
      <c r="I557" s="25">
        <f>0.01/45*C557</f>
        <v>6.6666666666666671E-3</v>
      </c>
      <c r="J557" s="25">
        <v>0</v>
      </c>
      <c r="K557" s="25">
        <v>0</v>
      </c>
      <c r="L557" s="25">
        <v>0</v>
      </c>
      <c r="M557" s="25">
        <f>46.5/45*C557</f>
        <v>31.000000000000004</v>
      </c>
      <c r="N557" s="27">
        <f>10/45*C557</f>
        <v>6.6666666666666661</v>
      </c>
      <c r="O557" s="27">
        <f>7/45*C557</f>
        <v>4.666666666666667</v>
      </c>
      <c r="P557" s="27">
        <f>32.5/45*C557</f>
        <v>21.666666666666668</v>
      </c>
      <c r="Q557" s="27">
        <f>1.6/45*C557</f>
        <v>1.0666666666666667</v>
      </c>
      <c r="R557" s="27">
        <f>0.55/45*C557</f>
        <v>0.3666666666666667</v>
      </c>
      <c r="S557" s="166">
        <f>3/45*C557</f>
        <v>2</v>
      </c>
      <c r="T557" s="27">
        <f>7.5/45*C557</f>
        <v>5</v>
      </c>
    </row>
    <row r="558" spans="1:20" ht="15" customHeight="1" x14ac:dyDescent="0.25">
      <c r="A558" s="95"/>
      <c r="B558" s="243"/>
      <c r="C558" s="263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264"/>
      <c r="O558" s="264"/>
      <c r="P558" s="264"/>
      <c r="Q558" s="264"/>
      <c r="R558" s="264"/>
      <c r="S558" s="265"/>
      <c r="T558" s="264"/>
    </row>
    <row r="559" spans="1:20" ht="15" customHeight="1" x14ac:dyDescent="0.25">
      <c r="A559" s="4"/>
      <c r="B559" s="71" t="s">
        <v>29</v>
      </c>
      <c r="C559" s="98">
        <f t="shared" ref="C559:T559" si="77">SUM(C551:C557)</f>
        <v>790</v>
      </c>
      <c r="D559" s="75">
        <f t="shared" si="77"/>
        <v>25.688333333333333</v>
      </c>
      <c r="E559" s="71">
        <f t="shared" si="77"/>
        <v>23.803333333333335</v>
      </c>
      <c r="F559" s="71">
        <f t="shared" si="77"/>
        <v>111.48</v>
      </c>
      <c r="G559" s="75">
        <f t="shared" si="77"/>
        <v>809.89666666666653</v>
      </c>
      <c r="H559" s="71">
        <f t="shared" si="77"/>
        <v>76.973333333333329</v>
      </c>
      <c r="I559" s="71">
        <f t="shared" si="77"/>
        <v>0.33200000000000002</v>
      </c>
      <c r="J559" s="71">
        <f t="shared" si="77"/>
        <v>788.58333333333337</v>
      </c>
      <c r="K559" s="75">
        <f t="shared" si="77"/>
        <v>0.13083333333333333</v>
      </c>
      <c r="L559" s="71">
        <f t="shared" si="77"/>
        <v>32.331666666666671</v>
      </c>
      <c r="M559" s="71">
        <f t="shared" si="77"/>
        <v>673.07333333333327</v>
      </c>
      <c r="N559" s="71">
        <f t="shared" si="77"/>
        <v>148.22999999999999</v>
      </c>
      <c r="O559" s="71">
        <f t="shared" si="77"/>
        <v>95.71</v>
      </c>
      <c r="P559" s="71">
        <f t="shared" si="77"/>
        <v>383.13333333333338</v>
      </c>
      <c r="Q559" s="71">
        <f t="shared" si="77"/>
        <v>29.720833333333335</v>
      </c>
      <c r="R559" s="71">
        <f t="shared" si="77"/>
        <v>35.936666666666675</v>
      </c>
      <c r="S559" s="71">
        <f t="shared" si="77"/>
        <v>38.007000000000005</v>
      </c>
      <c r="T559" s="71">
        <f t="shared" si="77"/>
        <v>84.665000000000006</v>
      </c>
    </row>
    <row r="560" spans="1:20" ht="15" customHeight="1" x14ac:dyDescent="0.25">
      <c r="A560" s="298" t="s">
        <v>30</v>
      </c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315"/>
    </row>
    <row r="561" spans="1:20" ht="15" customHeight="1" x14ac:dyDescent="0.25">
      <c r="A561" s="8" t="s">
        <v>124</v>
      </c>
      <c r="B561" s="32" t="s">
        <v>54</v>
      </c>
      <c r="C561" s="28">
        <v>200</v>
      </c>
      <c r="D561" s="56">
        <f>0.6/200*C561</f>
        <v>0.6</v>
      </c>
      <c r="E561" s="56">
        <f>0.4/200*C561</f>
        <v>0.4</v>
      </c>
      <c r="F561" s="56">
        <f>23.2/200*C561</f>
        <v>23.2</v>
      </c>
      <c r="G561" s="56">
        <f>100/200*C561</f>
        <v>100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7">
        <f>202/200*C561</f>
        <v>202</v>
      </c>
      <c r="N561" s="7">
        <f>16/200*C561</f>
        <v>16</v>
      </c>
      <c r="O561" s="7">
        <f>10/200*C561</f>
        <v>10</v>
      </c>
      <c r="P561" s="7">
        <f>14/200*C561</f>
        <v>14.000000000000002</v>
      </c>
      <c r="Q561" s="7">
        <v>0</v>
      </c>
      <c r="R561" s="7">
        <f>0.2/200*C561</f>
        <v>0.2</v>
      </c>
      <c r="S561" s="128">
        <f>0.2/200*C561</f>
        <v>0.2</v>
      </c>
      <c r="T561" s="7">
        <v>0</v>
      </c>
    </row>
    <row r="562" spans="1:20" ht="15" customHeight="1" x14ac:dyDescent="0.25">
      <c r="A562" s="8" t="s">
        <v>124</v>
      </c>
      <c r="B562" s="32" t="s">
        <v>92</v>
      </c>
      <c r="C562" s="28">
        <v>100</v>
      </c>
      <c r="D562" s="56">
        <f>4.5/60*C562</f>
        <v>7.5</v>
      </c>
      <c r="E562" s="56">
        <v>9.25</v>
      </c>
      <c r="F562" s="56">
        <v>21.3</v>
      </c>
      <c r="G562" s="56">
        <v>162</v>
      </c>
      <c r="H562" s="56">
        <v>0</v>
      </c>
      <c r="I562" s="56">
        <f>0.07/60*C562</f>
        <v>0.11666666666666668</v>
      </c>
      <c r="J562" s="56">
        <f>0.02/60*C562</f>
        <v>3.3333333333333333E-2</v>
      </c>
      <c r="K562" s="56">
        <v>0</v>
      </c>
      <c r="L562" s="56">
        <v>0</v>
      </c>
      <c r="M562" s="7">
        <f>39/60*C562</f>
        <v>65</v>
      </c>
      <c r="N562" s="7">
        <f>7.8/60*C562</f>
        <v>13</v>
      </c>
      <c r="O562" s="7">
        <f>0.72/60*C562</f>
        <v>1.2</v>
      </c>
      <c r="P562" s="7">
        <f>55.2/60*C562</f>
        <v>92</v>
      </c>
      <c r="Q562" s="7">
        <f>0.2/60*C562</f>
        <v>0.33333333333333337</v>
      </c>
      <c r="R562" s="7">
        <v>0</v>
      </c>
      <c r="S562" s="128">
        <v>0</v>
      </c>
      <c r="T562" s="7">
        <v>0</v>
      </c>
    </row>
    <row r="563" spans="1:20" ht="15" customHeight="1" x14ac:dyDescent="0.25">
      <c r="A563" s="4"/>
      <c r="B563" s="4"/>
      <c r="C563" s="29"/>
      <c r="D563" s="30"/>
      <c r="E563" s="30"/>
      <c r="F563" s="30"/>
      <c r="G563" s="30"/>
      <c r="H563" s="30"/>
      <c r="I563" s="30"/>
      <c r="J563" s="31"/>
      <c r="K563" s="30"/>
      <c r="L563" s="30"/>
      <c r="M563" s="30"/>
      <c r="N563" s="30"/>
      <c r="O563" s="30"/>
      <c r="P563" s="30"/>
      <c r="Q563" s="30"/>
      <c r="R563" s="30"/>
      <c r="S563" s="161"/>
      <c r="T563" s="30"/>
    </row>
    <row r="564" spans="1:20" ht="15" customHeight="1" x14ac:dyDescent="0.25">
      <c r="A564" s="4"/>
      <c r="B564" s="28" t="s">
        <v>32</v>
      </c>
      <c r="C564" s="29">
        <f>SUM(C561:C562)</f>
        <v>300</v>
      </c>
      <c r="D564" s="30">
        <f>SUM(D561:D562)</f>
        <v>8.1</v>
      </c>
      <c r="E564" s="30">
        <f t="shared" ref="E564:Q564" si="78">SUM(E561:E562)</f>
        <v>9.65</v>
      </c>
      <c r="F564" s="30">
        <f t="shared" si="78"/>
        <v>44.5</v>
      </c>
      <c r="G564" s="30">
        <f t="shared" si="78"/>
        <v>262</v>
      </c>
      <c r="H564" s="30">
        <f t="shared" si="78"/>
        <v>0</v>
      </c>
      <c r="I564" s="30">
        <f t="shared" si="78"/>
        <v>0.11666666666666668</v>
      </c>
      <c r="J564" s="30">
        <f t="shared" si="78"/>
        <v>3.3333333333333333E-2</v>
      </c>
      <c r="K564" s="30">
        <f t="shared" si="78"/>
        <v>0</v>
      </c>
      <c r="L564" s="30">
        <f t="shared" si="78"/>
        <v>0</v>
      </c>
      <c r="M564" s="30">
        <f t="shared" si="78"/>
        <v>267</v>
      </c>
      <c r="N564" s="30">
        <f t="shared" si="78"/>
        <v>29</v>
      </c>
      <c r="O564" s="30">
        <f t="shared" si="78"/>
        <v>11.2</v>
      </c>
      <c r="P564" s="30">
        <f t="shared" si="78"/>
        <v>106</v>
      </c>
      <c r="Q564" s="30">
        <f t="shared" si="78"/>
        <v>0.33333333333333337</v>
      </c>
      <c r="R564" s="30">
        <f>SUM(R561:R562)</f>
        <v>0.2</v>
      </c>
      <c r="S564" s="161">
        <f>SUM(S561:S562)</f>
        <v>0.2</v>
      </c>
      <c r="T564" s="30">
        <f>SUM(T561:T562)</f>
        <v>0</v>
      </c>
    </row>
    <row r="565" spans="1:20" ht="15" customHeight="1" x14ac:dyDescent="0.25">
      <c r="A565" s="4"/>
      <c r="B565" s="28" t="s">
        <v>33</v>
      </c>
      <c r="C565" s="29">
        <f t="shared" ref="C565:Q565" si="79">C564+C559+C549</f>
        <v>1600</v>
      </c>
      <c r="D565" s="30">
        <f t="shared" si="79"/>
        <v>52.591666666666669</v>
      </c>
      <c r="E565" s="29">
        <f t="shared" si="79"/>
        <v>49.821666666666665</v>
      </c>
      <c r="F565" s="29">
        <f t="shared" si="79"/>
        <v>235.27500000000003</v>
      </c>
      <c r="G565" s="29">
        <f t="shared" si="79"/>
        <v>1652.1966666666665</v>
      </c>
      <c r="H565" s="31">
        <f t="shared" si="79"/>
        <v>77.244500000000002</v>
      </c>
      <c r="I565" s="30">
        <f t="shared" si="79"/>
        <v>0.88150000000000006</v>
      </c>
      <c r="J565" s="29">
        <f t="shared" si="79"/>
        <v>881.41166666666663</v>
      </c>
      <c r="K565" s="29">
        <f t="shared" si="79"/>
        <v>0.36083333333333334</v>
      </c>
      <c r="L565" s="29">
        <f t="shared" si="79"/>
        <v>33.623000000000005</v>
      </c>
      <c r="M565" s="29">
        <f t="shared" si="79"/>
        <v>1441.34</v>
      </c>
      <c r="N565" s="29">
        <f t="shared" si="79"/>
        <v>543.63</v>
      </c>
      <c r="O565" s="29">
        <f t="shared" si="79"/>
        <v>190.09333333333333</v>
      </c>
      <c r="P565" s="29">
        <f t="shared" si="79"/>
        <v>861.93333333333339</v>
      </c>
      <c r="Q565" s="29">
        <f t="shared" si="79"/>
        <v>44.474666666666664</v>
      </c>
      <c r="R565" s="29">
        <f>R564+R559+R549</f>
        <v>96.736666666666679</v>
      </c>
      <c r="S565" s="29">
        <f>S564+S559+S549</f>
        <v>62.814333333333337</v>
      </c>
      <c r="T565" s="29">
        <f>T564+T559+T549</f>
        <v>147.91500000000002</v>
      </c>
    </row>
  </sheetData>
  <mergeCells count="139">
    <mergeCell ref="A539:T539"/>
    <mergeCell ref="A540:T540"/>
    <mergeCell ref="A541:T541"/>
    <mergeCell ref="A542:T542"/>
    <mergeCell ref="A550:T550"/>
    <mergeCell ref="A560:T560"/>
    <mergeCell ref="A512:T512"/>
    <mergeCell ref="A513:T513"/>
    <mergeCell ref="A514:T514"/>
    <mergeCell ref="A515:T515"/>
    <mergeCell ref="A523:T523"/>
    <mergeCell ref="A533:T533"/>
    <mergeCell ref="A484:T484"/>
    <mergeCell ref="A485:T485"/>
    <mergeCell ref="A486:T486"/>
    <mergeCell ref="A487:T487"/>
    <mergeCell ref="A495:T495"/>
    <mergeCell ref="A506:T506"/>
    <mergeCell ref="A457:T457"/>
    <mergeCell ref="A458:T458"/>
    <mergeCell ref="A459:T459"/>
    <mergeCell ref="A460:T460"/>
    <mergeCell ref="A468:T468"/>
    <mergeCell ref="A478:T478"/>
    <mergeCell ref="A430:T430"/>
    <mergeCell ref="A431:T431"/>
    <mergeCell ref="A432:T432"/>
    <mergeCell ref="A433:T433"/>
    <mergeCell ref="A441:T441"/>
    <mergeCell ref="A451:T451"/>
    <mergeCell ref="A402:T402"/>
    <mergeCell ref="A403:T403"/>
    <mergeCell ref="A404:T404"/>
    <mergeCell ref="A405:T405"/>
    <mergeCell ref="A413:T413"/>
    <mergeCell ref="A424:T424"/>
    <mergeCell ref="A375:T375"/>
    <mergeCell ref="A376:T376"/>
    <mergeCell ref="A377:T377"/>
    <mergeCell ref="A378:T378"/>
    <mergeCell ref="A386:T386"/>
    <mergeCell ref="A396:T396"/>
    <mergeCell ref="A347:T347"/>
    <mergeCell ref="A348:T348"/>
    <mergeCell ref="A349:T349"/>
    <mergeCell ref="A350:T350"/>
    <mergeCell ref="A358:T358"/>
    <mergeCell ref="A369:T369"/>
    <mergeCell ref="A320:T320"/>
    <mergeCell ref="A321:T321"/>
    <mergeCell ref="A322:T322"/>
    <mergeCell ref="A323:T323"/>
    <mergeCell ref="A331:T331"/>
    <mergeCell ref="A341:T341"/>
    <mergeCell ref="A294:T294"/>
    <mergeCell ref="A295:T295"/>
    <mergeCell ref="A296:T296"/>
    <mergeCell ref="A297:T297"/>
    <mergeCell ref="A305:T305"/>
    <mergeCell ref="A314:T314"/>
    <mergeCell ref="B281:T281"/>
    <mergeCell ref="A288:L288"/>
    <mergeCell ref="M288:T290"/>
    <mergeCell ref="A292:A293"/>
    <mergeCell ref="B292:B293"/>
    <mergeCell ref="C292:C293"/>
    <mergeCell ref="D292:F292"/>
    <mergeCell ref="G292:G293"/>
    <mergeCell ref="H292:L292"/>
    <mergeCell ref="M292:T292"/>
    <mergeCell ref="A253:T253"/>
    <mergeCell ref="A259:T259"/>
    <mergeCell ref="A260:T260"/>
    <mergeCell ref="A261:T261"/>
    <mergeCell ref="A262:T262"/>
    <mergeCell ref="A270:L270"/>
    <mergeCell ref="A225:T225"/>
    <mergeCell ref="A231:T231"/>
    <mergeCell ref="A232:T232"/>
    <mergeCell ref="A233:T233"/>
    <mergeCell ref="A234:T234"/>
    <mergeCell ref="A242:L242"/>
    <mergeCell ref="A198:T198"/>
    <mergeCell ref="A204:T204"/>
    <mergeCell ref="A205:T205"/>
    <mergeCell ref="A206:T206"/>
    <mergeCell ref="A207:T207"/>
    <mergeCell ref="A215:L215"/>
    <mergeCell ref="A170:T170"/>
    <mergeCell ref="A176:T176"/>
    <mergeCell ref="A177:T177"/>
    <mergeCell ref="A178:T178"/>
    <mergeCell ref="A179:T179"/>
    <mergeCell ref="A188:T188"/>
    <mergeCell ref="B142:T142"/>
    <mergeCell ref="A148:T148"/>
    <mergeCell ref="A149:T149"/>
    <mergeCell ref="A150:T150"/>
    <mergeCell ref="A151:T151"/>
    <mergeCell ref="A159:T159"/>
    <mergeCell ref="B114:T114"/>
    <mergeCell ref="A120:T120"/>
    <mergeCell ref="A121:T121"/>
    <mergeCell ref="A122:T122"/>
    <mergeCell ref="A123:T123"/>
    <mergeCell ref="A132:T132"/>
    <mergeCell ref="A91:T91"/>
    <mergeCell ref="A92:T92"/>
    <mergeCell ref="A93:T93"/>
    <mergeCell ref="A94:T94"/>
    <mergeCell ref="A102:T102"/>
    <mergeCell ref="A103:T103"/>
    <mergeCell ref="A64:T64"/>
    <mergeCell ref="A65:T65"/>
    <mergeCell ref="A66:T66"/>
    <mergeCell ref="A67:T67"/>
    <mergeCell ref="A75:L75"/>
    <mergeCell ref="A85:T85"/>
    <mergeCell ref="A36:T36"/>
    <mergeCell ref="A37:T37"/>
    <mergeCell ref="A38:T38"/>
    <mergeCell ref="A39:T39"/>
    <mergeCell ref="A47:L47"/>
    <mergeCell ref="A58:T58"/>
    <mergeCell ref="A7:T7"/>
    <mergeCell ref="A8:T8"/>
    <mergeCell ref="A9:T9"/>
    <mergeCell ref="A10:T10"/>
    <mergeCell ref="A19:T19"/>
    <mergeCell ref="A30:T30"/>
    <mergeCell ref="A1:L1"/>
    <mergeCell ref="M1:T3"/>
    <mergeCell ref="A5:A6"/>
    <mergeCell ref="B5:B6"/>
    <mergeCell ref="C5:C6"/>
    <mergeCell ref="D5:F5"/>
    <mergeCell ref="G5:G6"/>
    <mergeCell ref="H5:L5"/>
    <mergeCell ref="M5: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2023-11-13T05:07:39Z</dcterms:modified>
</cp:coreProperties>
</file>